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Ponto Situação/2025/2025.11/"/>
    </mc:Choice>
  </mc:AlternateContent>
  <xr:revisionPtr revIDLastSave="23" documentId="8_{958B935A-713B-4BA7-8F53-71D4F8BFA991}" xr6:coauthVersionLast="47" xr6:coauthVersionMax="47" xr10:uidLastSave="{2A0EB64A-54CD-42BC-A690-BD5399681830}"/>
  <bookViews>
    <workbookView xWindow="-108" yWindow="-108" windowWidth="23256" windowHeight="12456" xr2:uid="{00000000-000D-0000-FFFF-FFFF00000000}"/>
  </bookViews>
  <sheets>
    <sheet name="Quadro Síntese" sheetId="1" r:id="rId1"/>
  </sheets>
  <definedNames>
    <definedName name="_xlnm.Print_Area" localSheetId="0">'Quadro Síntese'!$B$1:$N$95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N83" i="1" l="1"/>
  <c r="M83" i="1"/>
  <c r="H38" i="1" l="1"/>
  <c r="H39" i="1"/>
  <c r="K79" i="1"/>
  <c r="H45" i="1"/>
  <c r="H40" i="1"/>
  <c r="H36" i="1"/>
  <c r="H77" i="1"/>
  <c r="H78" i="1"/>
  <c r="K78" i="1"/>
  <c r="H16" i="1"/>
  <c r="E90" i="1"/>
  <c r="D56" i="1"/>
  <c r="E15" i="1"/>
  <c r="G28" i="1" l="1"/>
  <c r="H79" i="1"/>
  <c r="L79" i="1" s="1"/>
  <c r="H81" i="1"/>
  <c r="H80" i="1"/>
  <c r="H69" i="1"/>
  <c r="H67" i="1"/>
  <c r="H64" i="1"/>
  <c r="H58" i="1"/>
  <c r="H53" i="1"/>
  <c r="H51" i="1"/>
  <c r="H50" i="1"/>
  <c r="H48" i="1"/>
  <c r="H44" i="1"/>
  <c r="H83" i="1"/>
  <c r="H82" i="1"/>
  <c r="H70" i="1"/>
  <c r="H68" i="1"/>
  <c r="H66" i="1"/>
  <c r="H63" i="1"/>
  <c r="H54" i="1"/>
  <c r="H52" i="1"/>
  <c r="H49" i="1"/>
  <c r="H47" i="1"/>
  <c r="H43" i="1"/>
  <c r="H35" i="1"/>
  <c r="H34" i="1"/>
  <c r="H33" i="1"/>
  <c r="H61" i="1"/>
  <c r="H60" i="1"/>
  <c r="H59" i="1"/>
  <c r="H25" i="1"/>
  <c r="H24" i="1"/>
  <c r="D76" i="1"/>
  <c r="D75" i="1" s="1"/>
  <c r="D74" i="1" s="1"/>
  <c r="D15" i="1"/>
  <c r="L77" i="1"/>
  <c r="K77" i="1"/>
  <c r="L78" i="1"/>
  <c r="L83" i="1" l="1"/>
  <c r="H76" i="1"/>
  <c r="H29" i="1"/>
  <c r="F65" i="1" l="1"/>
  <c r="F28" i="1" l="1"/>
  <c r="H27" i="1"/>
  <c r="H26" i="1"/>
  <c r="F15" i="1" l="1"/>
  <c r="F14" i="1" s="1"/>
  <c r="H22" i="1"/>
  <c r="H89" i="1"/>
  <c r="H86" i="1"/>
  <c r="H30" i="1"/>
  <c r="H87" i="1"/>
  <c r="H88" i="1"/>
  <c r="H85" i="1"/>
  <c r="H23" i="1" l="1"/>
  <c r="H21" i="1"/>
  <c r="H20" i="1"/>
  <c r="H19" i="1"/>
  <c r="H18" i="1"/>
  <c r="H17" i="1"/>
  <c r="F37" i="1" l="1"/>
  <c r="G37" i="1"/>
  <c r="I37" i="1" l="1"/>
  <c r="J37" i="1"/>
  <c r="N34" i="1"/>
  <c r="N30" i="1"/>
  <c r="N29" i="1"/>
  <c r="H92" i="1"/>
  <c r="H91" i="1"/>
  <c r="L68" i="1"/>
  <c r="M57" i="1"/>
  <c r="M30" i="1"/>
  <c r="M29" i="1"/>
  <c r="H57" i="1" l="1"/>
  <c r="M34" i="1"/>
  <c r="M27" i="1"/>
  <c r="K27" i="1"/>
  <c r="N26" i="1"/>
  <c r="L26" i="1"/>
  <c r="M26" i="1"/>
  <c r="K26" i="1"/>
  <c r="N27" i="1"/>
  <c r="L27" i="1"/>
  <c r="H32" i="1" l="1"/>
  <c r="H37" i="1"/>
  <c r="H65" i="1" l="1"/>
  <c r="H62" i="1"/>
  <c r="H46" i="1"/>
  <c r="H42" i="1"/>
  <c r="H28" i="1"/>
  <c r="H41" i="1" l="1"/>
  <c r="H31" i="1"/>
  <c r="H75" i="1" l="1"/>
  <c r="H74" i="1" s="1"/>
  <c r="L64" i="1"/>
  <c r="E28" i="1"/>
  <c r="L28" i="1" s="1"/>
  <c r="D28" i="1" l="1"/>
  <c r="K28" i="1" s="1"/>
  <c r="E14" i="1"/>
  <c r="D32" i="1"/>
  <c r="D37" i="1"/>
  <c r="E32" i="1"/>
  <c r="L32" i="1" s="1"/>
  <c r="E37" i="1"/>
  <c r="D46" i="1"/>
  <c r="E46" i="1"/>
  <c r="L46" i="1" s="1"/>
  <c r="E56" i="1"/>
  <c r="D42" i="1"/>
  <c r="D62" i="1"/>
  <c r="E42" i="1"/>
  <c r="L42" i="1" s="1"/>
  <c r="E62" i="1"/>
  <c r="L62" i="1" s="1"/>
  <c r="L63" i="1"/>
  <c r="E76" i="1"/>
  <c r="E75" i="1" s="1"/>
  <c r="E74" i="1" s="1"/>
  <c r="K37" i="1" l="1"/>
  <c r="M37" i="1"/>
  <c r="N37" i="1"/>
  <c r="L37" i="1"/>
  <c r="D55" i="1"/>
  <c r="D14" i="1"/>
  <c r="E41" i="1"/>
  <c r="D41" i="1"/>
  <c r="E55" i="1"/>
  <c r="E31" i="1"/>
  <c r="D31" i="1"/>
  <c r="L80" i="1" l="1"/>
  <c r="L81" i="1"/>
  <c r="L82" i="1"/>
  <c r="L75" i="1"/>
  <c r="M78" i="1"/>
  <c r="N78" i="1"/>
  <c r="M79" i="1"/>
  <c r="N79" i="1"/>
  <c r="K80" i="1"/>
  <c r="M80" i="1"/>
  <c r="N80" i="1"/>
  <c r="K81" i="1"/>
  <c r="M81" i="1"/>
  <c r="N81" i="1"/>
  <c r="G76" i="1" l="1"/>
  <c r="G75" i="1" s="1"/>
  <c r="G74" i="1" s="1"/>
  <c r="F76" i="1"/>
  <c r="F75" i="1" s="1"/>
  <c r="F74" i="1" s="1"/>
  <c r="J76" i="1"/>
  <c r="J75" i="1" s="1"/>
  <c r="J74" i="1" s="1"/>
  <c r="I76" i="1"/>
  <c r="I75" i="1" s="1"/>
  <c r="K82" i="1"/>
  <c r="N82" i="1"/>
  <c r="M82" i="1"/>
  <c r="N77" i="1"/>
  <c r="L74" i="1"/>
  <c r="K64" i="1"/>
  <c r="F62" i="1"/>
  <c r="G56" i="1"/>
  <c r="G46" i="1"/>
  <c r="K46" i="1" s="1"/>
  <c r="G42" i="1"/>
  <c r="K42" i="1" s="1"/>
  <c r="F42" i="1"/>
  <c r="G32" i="1"/>
  <c r="F32" i="1"/>
  <c r="F31" i="1" s="1"/>
  <c r="N64" i="1"/>
  <c r="M64" i="1"/>
  <c r="J46" i="1"/>
  <c r="N46" i="1" s="1"/>
  <c r="I46" i="1"/>
  <c r="M46" i="1" s="1"/>
  <c r="J42" i="1"/>
  <c r="N42" i="1" s="1"/>
  <c r="I42" i="1"/>
  <c r="M42" i="1" s="1"/>
  <c r="J32" i="1"/>
  <c r="I32" i="1"/>
  <c r="I74" i="1" l="1"/>
  <c r="M74" i="1" s="1"/>
  <c r="M75" i="1"/>
  <c r="K56" i="1"/>
  <c r="I56" i="1"/>
  <c r="J56" i="1"/>
  <c r="F46" i="1"/>
  <c r="F41" i="1" s="1"/>
  <c r="G65" i="1"/>
  <c r="I15" i="1"/>
  <c r="M15" i="1" s="1"/>
  <c r="J15" i="1"/>
  <c r="N15" i="1" s="1"/>
  <c r="I28" i="1"/>
  <c r="M28" i="1" s="1"/>
  <c r="I65" i="1"/>
  <c r="J28" i="1"/>
  <c r="N28" i="1" s="1"/>
  <c r="J65" i="1"/>
  <c r="F56" i="1"/>
  <c r="F55" i="1" s="1"/>
  <c r="I31" i="1"/>
  <c r="M32" i="1"/>
  <c r="M63" i="1"/>
  <c r="I62" i="1"/>
  <c r="M62" i="1" s="1"/>
  <c r="N32" i="1"/>
  <c r="J31" i="1"/>
  <c r="N31" i="1" s="1"/>
  <c r="J62" i="1"/>
  <c r="N62" i="1" s="1"/>
  <c r="N63" i="1"/>
  <c r="K32" i="1"/>
  <c r="G31" i="1"/>
  <c r="K63" i="1"/>
  <c r="G62" i="1"/>
  <c r="K62" i="1" s="1"/>
  <c r="I41" i="1"/>
  <c r="M41" i="1" s="1"/>
  <c r="J41" i="1"/>
  <c r="G41" i="1"/>
  <c r="K41" i="1" s="1"/>
  <c r="N75" i="1"/>
  <c r="K74" i="1"/>
  <c r="N74" i="1"/>
  <c r="M31" i="1" l="1"/>
  <c r="F12" i="1"/>
  <c r="G55" i="1"/>
  <c r="I14" i="1"/>
  <c r="N56" i="1"/>
  <c r="J55" i="1"/>
  <c r="M56" i="1"/>
  <c r="I55" i="1"/>
  <c r="J14" i="1"/>
  <c r="H90" i="1" l="1"/>
  <c r="G90" i="1"/>
  <c r="F90" i="1"/>
  <c r="G15" i="1" l="1"/>
  <c r="K31" i="1"/>
  <c r="L31" i="1"/>
  <c r="K17" i="1"/>
  <c r="K16" i="1"/>
  <c r="M16" i="1"/>
  <c r="N16" i="1"/>
  <c r="F84" i="1"/>
  <c r="F72" i="1" s="1"/>
  <c r="F10" i="1" s="1"/>
  <c r="G84" i="1"/>
  <c r="G72" i="1" s="1"/>
  <c r="K15" i="1" l="1"/>
  <c r="G14" i="1"/>
  <c r="G12" i="1" s="1"/>
  <c r="G10" i="1" s="1"/>
  <c r="H56" i="1"/>
  <c r="H15" i="1"/>
  <c r="H84" i="1"/>
  <c r="H72" i="1" s="1"/>
  <c r="L56" i="1" l="1"/>
  <c r="H55" i="1"/>
  <c r="H14" i="1"/>
  <c r="L15" i="1"/>
  <c r="H12" i="1" l="1"/>
  <c r="H10" i="1" s="1"/>
  <c r="J90" i="1"/>
  <c r="I90" i="1"/>
  <c r="I84" i="1" l="1"/>
  <c r="I72" i="1" s="1"/>
  <c r="L53" i="1"/>
  <c r="N50" i="1"/>
  <c r="N25" i="1"/>
  <c r="M24" i="1"/>
  <c r="M22" i="1"/>
  <c r="N19" i="1"/>
  <c r="K59" i="1" l="1"/>
  <c r="L67" i="1"/>
  <c r="L25" i="1"/>
  <c r="L49" i="1"/>
  <c r="K25" i="1"/>
  <c r="K24" i="1"/>
  <c r="L29" i="1"/>
  <c r="K22" i="1"/>
  <c r="L24" i="1"/>
  <c r="K50" i="1"/>
  <c r="K29" i="1"/>
  <c r="M89" i="1"/>
  <c r="N23" i="1"/>
  <c r="N49" i="1"/>
  <c r="K51" i="1"/>
  <c r="L30" i="1"/>
  <c r="L51" i="1"/>
  <c r="L39" i="1"/>
  <c r="L35" i="1"/>
  <c r="L43" i="1"/>
  <c r="N51" i="1"/>
  <c r="K70" i="1"/>
  <c r="K52" i="1"/>
  <c r="L52" i="1"/>
  <c r="K49" i="1"/>
  <c r="J84" i="1"/>
  <c r="J72" i="1" s="1"/>
  <c r="N18" i="1"/>
  <c r="M87" i="1"/>
  <c r="M39" i="1"/>
  <c r="M47" i="1"/>
  <c r="N90" i="1"/>
  <c r="M18" i="1"/>
  <c r="M20" i="1"/>
  <c r="M21" i="1"/>
  <c r="M38" i="1"/>
  <c r="N39" i="1"/>
  <c r="N47" i="1"/>
  <c r="M59" i="1"/>
  <c r="N60" i="1"/>
  <c r="M66" i="1"/>
  <c r="N67" i="1"/>
  <c r="M70" i="1"/>
  <c r="N17" i="1"/>
  <c r="L34" i="1"/>
  <c r="K39" i="1"/>
  <c r="M49" i="1"/>
  <c r="K60" i="1"/>
  <c r="L61" i="1"/>
  <c r="K67" i="1"/>
  <c r="K85" i="1"/>
  <c r="K87" i="1"/>
  <c r="K89" i="1"/>
  <c r="L92" i="1"/>
  <c r="K19" i="1"/>
  <c r="N21" i="1"/>
  <c r="M19" i="1"/>
  <c r="N20" i="1"/>
  <c r="K23" i="1"/>
  <c r="M33" i="1"/>
  <c r="M35" i="1"/>
  <c r="M44" i="1"/>
  <c r="N48" i="1"/>
  <c r="M53" i="1"/>
  <c r="M54" i="1"/>
  <c r="K57" i="1"/>
  <c r="M58" i="1"/>
  <c r="N59" i="1"/>
  <c r="M69" i="1"/>
  <c r="N70" i="1"/>
  <c r="K86" i="1"/>
  <c r="M88" i="1"/>
  <c r="D90" i="1"/>
  <c r="L91" i="1"/>
  <c r="M92" i="1"/>
  <c r="K21" i="1"/>
  <c r="M23" i="1"/>
  <c r="M25" i="1"/>
  <c r="N35" i="1"/>
  <c r="K38" i="1"/>
  <c r="N44" i="1"/>
  <c r="K47" i="1"/>
  <c r="K48" i="1"/>
  <c r="M51" i="1"/>
  <c r="N53" i="1"/>
  <c r="N54" i="1"/>
  <c r="L60" i="1"/>
  <c r="M61" i="1"/>
  <c r="D65" i="1"/>
  <c r="M68" i="1"/>
  <c r="E84" i="1"/>
  <c r="M17" i="1"/>
  <c r="K20" i="1"/>
  <c r="N24" i="1"/>
  <c r="K33" i="1"/>
  <c r="L33" i="1"/>
  <c r="K34" i="1"/>
  <c r="K35" i="1"/>
  <c r="L38" i="1"/>
  <c r="K44" i="1"/>
  <c r="L47" i="1"/>
  <c r="L48" i="1"/>
  <c r="M50" i="1"/>
  <c r="N52" i="1"/>
  <c r="K53" i="1"/>
  <c r="K54" i="1"/>
  <c r="N57" i="1"/>
  <c r="L59" i="1"/>
  <c r="M60" i="1"/>
  <c r="N61" i="1"/>
  <c r="E65" i="1"/>
  <c r="M67" i="1"/>
  <c r="N68" i="1"/>
  <c r="K69" i="1"/>
  <c r="L70" i="1"/>
  <c r="D84" i="1"/>
  <c r="M86" i="1"/>
  <c r="K88" i="1"/>
  <c r="K92" i="1"/>
  <c r="N69" i="1"/>
  <c r="N22" i="1"/>
  <c r="K30" i="1"/>
  <c r="N38" i="1"/>
  <c r="M43" i="1"/>
  <c r="M48" i="1"/>
  <c r="M52" i="1"/>
  <c r="K61" i="1"/>
  <c r="N66" i="1"/>
  <c r="K68" i="1"/>
  <c r="N86" i="1"/>
  <c r="N87" i="1"/>
  <c r="N88" i="1"/>
  <c r="N89" i="1"/>
  <c r="N92" i="1"/>
  <c r="K18" i="1"/>
  <c r="N33" i="1"/>
  <c r="L44" i="1"/>
  <c r="L50" i="1"/>
  <c r="L54" i="1"/>
  <c r="L58" i="1"/>
  <c r="L69" i="1"/>
  <c r="N58" i="1"/>
  <c r="K66" i="1"/>
  <c r="M85" i="1"/>
  <c r="M91" i="1"/>
  <c r="N43" i="1"/>
  <c r="K58" i="1"/>
  <c r="L66" i="1"/>
  <c r="N85" i="1"/>
  <c r="N91" i="1"/>
  <c r="K43" i="1"/>
  <c r="K91" i="1"/>
  <c r="N65" i="1" l="1"/>
  <c r="L41" i="1"/>
  <c r="K65" i="1"/>
  <c r="K90" i="1"/>
  <c r="K14" i="1"/>
  <c r="L90" i="1"/>
  <c r="M84" i="1"/>
  <c r="K84" i="1"/>
  <c r="L65" i="1"/>
  <c r="E72" i="1"/>
  <c r="N72" i="1" s="1"/>
  <c r="L86" i="1"/>
  <c r="L87" i="1"/>
  <c r="L88" i="1"/>
  <c r="L89" i="1"/>
  <c r="L21" i="1"/>
  <c r="L20" i="1"/>
  <c r="L22" i="1"/>
  <c r="L23" i="1"/>
  <c r="L17" i="1"/>
  <c r="L19" i="1"/>
  <c r="L18" i="1"/>
  <c r="N55" i="1"/>
  <c r="M90" i="1"/>
  <c r="K55" i="1"/>
  <c r="D72" i="1"/>
  <c r="M14" i="1"/>
  <c r="L57" i="1"/>
  <c r="L55" i="1"/>
  <c r="N84" i="1"/>
  <c r="L85" i="1"/>
  <c r="M55" i="1"/>
  <c r="D12" i="1"/>
  <c r="M65" i="1"/>
  <c r="I12" i="1"/>
  <c r="I10" i="1" s="1"/>
  <c r="E12" i="1"/>
  <c r="N14" i="1"/>
  <c r="J12" i="1"/>
  <c r="J10" i="1" s="1"/>
  <c r="N41" i="1"/>
  <c r="D10" i="1" l="1"/>
  <c r="E10" i="1"/>
  <c r="K72" i="1"/>
  <c r="M72" i="1"/>
  <c r="L72" i="1"/>
  <c r="L84" i="1"/>
  <c r="N12" i="1"/>
  <c r="M12" i="1"/>
  <c r="K12" i="1"/>
  <c r="L16" i="1"/>
  <c r="L14" i="1" l="1"/>
  <c r="M10" i="1"/>
  <c r="N10" i="1"/>
  <c r="K10" i="1"/>
  <c r="L12" i="1" l="1"/>
  <c r="L10" i="1"/>
  <c r="M77" i="1"/>
  <c r="K75" i="1" l="1"/>
</calcChain>
</file>

<file path=xl/sharedStrings.xml><?xml version="1.0" encoding="utf-8"?>
<sst xmlns="http://schemas.openxmlformats.org/spreadsheetml/2006/main" count="176" uniqueCount="168">
  <si>
    <t>FEADER</t>
  </si>
  <si>
    <t>Nº</t>
  </si>
  <si>
    <t>C.1.1.1.1.1</t>
  </si>
  <si>
    <t>Conservação do solo - Sementeira direta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</si>
  <si>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</si>
  <si>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</si>
  <si>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</si>
  <si>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</si>
  <si>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</si>
  <si>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</si>
  <si>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</si>
  <si>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</si>
  <si>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</si>
  <si>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</si>
  <si>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</si>
  <si>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</si>
  <si>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</si>
  <si>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</si>
  <si>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</si>
  <si>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C.1.1.6</t>
  </si>
  <si>
    <t>C.1.2.1</t>
  </si>
  <si>
    <t>Apoio às zonas com condicionantes naturais</t>
  </si>
  <si>
    <t>C.1.2.2</t>
  </si>
  <si>
    <t>Pagamento rede natura</t>
  </si>
  <si>
    <t>C.2.1.1</t>
  </si>
  <si>
    <t>Investimento produtivo agrícola - Modernização</t>
  </si>
  <si>
    <t>C.2.1.2</t>
  </si>
  <si>
    <t>C.2.1.3</t>
  </si>
  <si>
    <t>Investimentos não produtivos</t>
  </si>
  <si>
    <t>C.2.2.1</t>
  </si>
  <si>
    <t>Prémio instalação jovens agricultores</t>
  </si>
  <si>
    <t>C.2.2.2</t>
  </si>
  <si>
    <t>Investimento produtivo jovens agricultores</t>
  </si>
  <si>
    <t>C.3.1.1</t>
  </si>
  <si>
    <t>Investimento produtivo bioeconomia - Modernização</t>
  </si>
  <si>
    <t>C.3.1.2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</si>
  <si>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</si>
  <si>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</si>
  <si>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</si>
  <si>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</si>
  <si>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</si>
  <si>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</si>
  <si>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</si>
  <si>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</si>
  <si>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</si>
  <si>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</si>
  <si>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</si>
  <si>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</si>
  <si>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</si>
  <si>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</si>
  <si>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</si>
  <si>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C.4.1.1</t>
  </si>
  <si>
    <t>Seguros</t>
  </si>
  <si>
    <t>C.4.1.2</t>
  </si>
  <si>
    <t>Prevenção de calamidades e catástrofes naturais</t>
  </si>
  <si>
    <t>C.4.1.3</t>
  </si>
  <si>
    <t>C.4.1.4</t>
  </si>
  <si>
    <t>C.4.2</t>
  </si>
  <si>
    <t>Apoio à promoção de produtos de qualidade</t>
  </si>
  <si>
    <t>C.4.3.1</t>
  </si>
  <si>
    <t>Criação de agrupamentos e organizações de produtores</t>
  </si>
  <si>
    <t>C.4.3.2</t>
  </si>
  <si>
    <t>Organizações interprofissionais</t>
  </si>
  <si>
    <t>C.5.1</t>
  </si>
  <si>
    <t>Grupos operacionais para a inovação</t>
  </si>
  <si>
    <t>C.5.2</t>
  </si>
  <si>
    <t>Formação e informação</t>
  </si>
  <si>
    <t>C.5.3</t>
  </si>
  <si>
    <t>Aconselhamento</t>
  </si>
  <si>
    <t>C.5.4</t>
  </si>
  <si>
    <t>C.5.5</t>
  </si>
  <si>
    <t>Acompanhamento técnico especializado - Intercâmbio de conhecimento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</si>
  <si>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</si>
  <si>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</si>
  <si>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</si>
  <si>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</si>
  <si>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</si>
  <si>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</si>
  <si>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</si>
  <si>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D.2.5</t>
  </si>
  <si>
    <t>D.3.1</t>
  </si>
  <si>
    <t>Desenvolvimento do regadio sustentável</t>
  </si>
  <si>
    <t>D.3.2</t>
  </si>
  <si>
    <t>Melhoria da sustentabilidade dos regadios existentes</t>
  </si>
  <si>
    <t>TOTAL PEPAC CONTINENTE</t>
  </si>
  <si>
    <t>COMPROMISSOS</t>
  </si>
  <si>
    <t>INDICADORES</t>
  </si>
  <si>
    <t>DESCRIÇÃO DA INTERVENÇÃO</t>
  </si>
  <si>
    <t>Restabelecimento do potencial silvícola na sequência de catástrofes…</t>
  </si>
  <si>
    <t>Fundo de emergência rural</t>
  </si>
  <si>
    <t>Restabelecimento do potencial produtivo</t>
  </si>
  <si>
    <t>CÓDIGO INTERVENÇÃO</t>
  </si>
  <si>
    <t>C.1. Gestão Ambiental e Climática</t>
  </si>
  <si>
    <t>C.4. Risco e Organização da Produção</t>
  </si>
  <si>
    <t>C.5. Conhecimento</t>
  </si>
  <si>
    <t>D.2. Programas de Ação em Áreas Sensíveis</t>
  </si>
  <si>
    <t>D.3. Regadios Coletivos Sustentáveis</t>
  </si>
  <si>
    <t>C.1.1. Compromissos agroambientais e clima</t>
  </si>
  <si>
    <t>C.1.2. Manutenção da atividade agrícola em zonas com condicionantes</t>
  </si>
  <si>
    <t>C.2.2. Instalação de jovens agricultores</t>
  </si>
  <si>
    <t>C.3.1. Investimentos na bioeconomia de base agrícola/florestal</t>
  </si>
  <si>
    <t>C.3.2. Silvicultura sustentável</t>
  </si>
  <si>
    <t>C.4.1. Gestão de riscos</t>
  </si>
  <si>
    <t>C.4.3. Organização da produção</t>
  </si>
  <si>
    <t>Mil euros</t>
  </si>
  <si>
    <t>FEADER (%)</t>
  </si>
  <si>
    <t>[1]</t>
  </si>
  <si>
    <t>[2]</t>
  </si>
  <si>
    <t>[3]</t>
  </si>
  <si>
    <t>[6]</t>
  </si>
  <si>
    <t>[7]</t>
  </si>
  <si>
    <t>[8]</t>
  </si>
  <si>
    <t>[9]</t>
  </si>
  <si>
    <t>[10] = [6] / [1]</t>
  </si>
  <si>
    <t>[11] = [7] / [1]</t>
  </si>
  <si>
    <t>[13] = [9] / [2]</t>
  </si>
  <si>
    <t>[12] = [8) / (1]</t>
  </si>
  <si>
    <t>PROGRAMAÇÃO [a]</t>
  </si>
  <si>
    <t>PAGAMENTOS [b]</t>
  </si>
  <si>
    <t>[b] Informação enviada pelo IFAP</t>
  </si>
  <si>
    <t>Taxa de compromisso</t>
  </si>
  <si>
    <t>Taxa de execução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</si>
  <si>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</si>
  <si>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</si>
  <si>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</si>
  <si>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</si>
  <si>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</si>
  <si>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</si>
  <si>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</si>
  <si>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</si>
  <si>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</si>
  <si>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</si>
  <si>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</si>
  <si>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D.1.1.2</t>
  </si>
  <si>
    <t>Cooperação</t>
  </si>
  <si>
    <t>D.1.1</t>
  </si>
  <si>
    <t>D.1.2</t>
  </si>
  <si>
    <t>Gestão, acompanhamento e avaliação da estratégia e sua animação</t>
  </si>
  <si>
    <t>C.1.1.7</t>
  </si>
  <si>
    <t xml:space="preserve">Produção Integrada-PRODI  </t>
  </si>
  <si>
    <t>C.1.1.8</t>
  </si>
  <si>
    <t>C.2.1.4</t>
  </si>
  <si>
    <t>C.2.2.3</t>
  </si>
  <si>
    <t>C.3.1.3</t>
  </si>
  <si>
    <t>TOTAL EIXO C. DESENVOLVIMENTO RURAL</t>
  </si>
  <si>
    <t xml:space="preserve"> C.2. Investimento e Rejuvenescimento</t>
  </si>
  <si>
    <t>D.1. Desenvolvimento local de base comunitária</t>
  </si>
  <si>
    <t>Despesa pública (%)</t>
  </si>
  <si>
    <t>Conservação e melhoramento de recursos genéticos (animais, vegetais e florestais)</t>
  </si>
  <si>
    <t>Despesa pública</t>
  </si>
  <si>
    <t xml:space="preserve"> C.3. Sustentabilidade das Zonas Rurais</t>
  </si>
  <si>
    <t>TOTAL EIXO D. ABORDAGEM TERRITORIAL INTEGRADA</t>
  </si>
  <si>
    <t>Quadro Síntese da Execução Financeira do PEPAC Continente</t>
  </si>
  <si>
    <t>[a] Decisão C (2025) 667 de 5 de fevereiro</t>
  </si>
  <si>
    <t>Agricultura biológica (Conversão e Manutenção)</t>
  </si>
  <si>
    <t>Dados reportados a</t>
  </si>
  <si>
    <t>Apoio à apicultura para a biodiversidade</t>
  </si>
  <si>
    <t>C.2.1. Investimentos na exploração agrícola</t>
  </si>
  <si>
    <t>Investimento produtivo agrícola - Desempenho ambiental</t>
  </si>
  <si>
    <t>Investimento produtivo agrícola - Instrumento Financeiro</t>
  </si>
  <si>
    <t>Investimento produtivo jovens agricultores - Instrumento Financeiro</t>
  </si>
  <si>
    <t>Investimento na bioeconomia - Desempenho ambiental</t>
  </si>
  <si>
    <t>Investimento produtivo bioeconomia - Instrumento Financeiro</t>
  </si>
  <si>
    <t>Conhecimento - Agroambiental e climático</t>
  </si>
  <si>
    <t>Estratégias de desenvolvimento local</t>
  </si>
  <si>
    <t>Conservação e valorização do património local</t>
  </si>
  <si>
    <t>Proteção de espécies com estatuto - Superfície agrícola</t>
  </si>
  <si>
    <t>Proteção de espécies com estatuto - Silvoambientais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</si>
</sst>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name val="Arial"/>
      <family val="2"/>
    </font>
    <font>
      <b/>
      <sz val="10"/>
      <color theme="4" tint="0.79998168889431442"/>
      <name val="Aptos"/>
      <family val="2"/>
    </font>
    <font>
      <b/>
      <sz val="10"/>
      <color theme="2"/>
      <name val="Aptos"/>
      <family val="2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sz val="10"/>
      <color theme="0" tint="-4.9989318521683403E-2"/>
      <name val="Aptos"/>
      <family val="2"/>
    </font>
    <font>
      <sz val="10"/>
      <color theme="1" tint="0.249977111117893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i/>
      <sz val="10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rgb="FFF5FDCF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theme="1" tint="0.14999847407452621"/>
      <name val="Aptos"/>
      <family val="2"/>
    </font>
    <font>
      <b/>
      <sz val="11"/>
      <color rgb="FF194B50"/>
      <name val="Aptos"/>
      <family val="2"/>
    </font>
    <font>
      <sz val="11"/>
      <color rgb="FF194B50"/>
      <name val="Aptos"/>
      <family val="2"/>
    </font>
    <font>
      <sz val="8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b/>
      <sz val="16"/>
      <color theme="1" tint="0.14999847407452621"/>
      <name val="Aptos"/>
      <family val="2"/>
    </font>
    <font>
      <i/>
      <sz val="10"/>
      <color theme="1" tint="0.249977111117893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left" vertical="center" wrapText="1" indent="1"/>
    </xf>
    <xf numFmtId="3" fontId="9" fillId="0" borderId="2" xfId="0" applyNumberFormat="1" applyFont="1" applyBorder="1" applyAlignment="1">
      <alignment horizontal="right" vertical="center" indent="1"/>
    </xf>
    <xf numFmtId="3" fontId="12" fillId="4" borderId="2" xfId="0" applyNumberFormat="1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4" fillId="3" borderId="8" xfId="0" applyFont="1" applyFill="1" applyBorder="1" applyAlignment="1">
      <alignment vertical="center" wrapText="1"/>
    </xf>
    <xf numFmtId="3" fontId="14" fillId="3" borderId="7" xfId="0" applyNumberFormat="1" applyFont="1" applyFill="1" applyBorder="1" applyAlignment="1">
      <alignment horizontal="right" vertical="center" indent="1"/>
    </xf>
    <xf numFmtId="3" fontId="14" fillId="4" borderId="2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3" fontId="20" fillId="0" borderId="2" xfId="0" applyNumberFormat="1" applyFont="1" applyBorder="1" applyAlignment="1">
      <alignment horizontal="right" vertical="center" indent="1"/>
    </xf>
    <xf numFmtId="0" fontId="14" fillId="3" borderId="2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 indent="4"/>
    </xf>
    <xf numFmtId="3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 wrapText="1"/>
    </xf>
    <xf numFmtId="9" fontId="14" fillId="3" borderId="2" xfId="1" applyFont="1" applyFill="1" applyBorder="1" applyAlignment="1" applyProtection="1">
      <alignment horizontal="right" vertical="center" indent="1"/>
    </xf>
    <xf numFmtId="0" fontId="16" fillId="0" borderId="0" xfId="0" applyFont="1" applyAlignment="1">
      <alignment horizontal="center" vertical="center"/>
    </xf>
    <xf numFmtId="9" fontId="14" fillId="3" borderId="7" xfId="1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9" fontId="14" fillId="4" borderId="2" xfId="0" applyNumberFormat="1" applyFont="1" applyFill="1" applyBorder="1" applyAlignment="1">
      <alignment horizontal="right" vertical="center" indent="1"/>
    </xf>
    <xf numFmtId="9" fontId="14" fillId="4" borderId="2" xfId="1" applyFont="1" applyFill="1" applyBorder="1" applyAlignment="1" applyProtection="1">
      <alignment horizontal="right" vertical="center" indent="1"/>
    </xf>
    <xf numFmtId="0" fontId="9" fillId="0" borderId="2" xfId="0" applyFont="1" applyBorder="1" applyAlignment="1">
      <alignment horizontal="left" vertical="center" indent="3"/>
    </xf>
    <xf numFmtId="9" fontId="9" fillId="0" borderId="2" xfId="1" applyFont="1" applyFill="1" applyBorder="1" applyAlignment="1" applyProtection="1">
      <alignment horizontal="right" vertical="center" indent="1"/>
    </xf>
    <xf numFmtId="0" fontId="9" fillId="0" borderId="2" xfId="0" applyFont="1" applyBorder="1" applyAlignment="1">
      <alignment horizontal="left" vertical="center" wrapText="1" indent="3"/>
    </xf>
    <xf numFmtId="9" fontId="9" fillId="0" borderId="2" xfId="1" applyFont="1" applyBorder="1" applyAlignment="1" applyProtection="1">
      <alignment horizontal="right" vertical="center" indent="1"/>
    </xf>
    <xf numFmtId="3" fontId="9" fillId="2" borderId="2" xfId="0" applyNumberFormat="1" applyFont="1" applyFill="1" applyBorder="1" applyAlignment="1">
      <alignment horizontal="right" vertical="center" indent="1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indent="1"/>
    </xf>
    <xf numFmtId="9" fontId="3" fillId="0" borderId="6" xfId="1" applyFont="1" applyFill="1" applyBorder="1" applyAlignment="1" applyProtection="1">
      <alignment horizontal="right" vertical="center" inden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 indent="3"/>
    </xf>
    <xf numFmtId="0" fontId="14" fillId="4" borderId="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4" borderId="4" xfId="0" applyFont="1" applyFill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1"/>
    </xf>
    <xf numFmtId="9" fontId="20" fillId="0" borderId="2" xfId="1" applyFont="1" applyBorder="1" applyAlignment="1" applyProtection="1">
      <alignment horizontal="right" vertical="center" indent="1"/>
    </xf>
    <xf numFmtId="0" fontId="16" fillId="0" borderId="0" xfId="0" applyFont="1" applyAlignment="1">
      <alignment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indent="2"/>
    </xf>
    <xf numFmtId="0" fontId="20" fillId="0" borderId="2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6" borderId="4" xfId="0" applyFont="1" applyFill="1" applyBorder="1" applyAlignment="1">
      <alignment horizontal="left" vertical="center" indent="2"/>
    </xf>
    <xf numFmtId="0" fontId="21" fillId="6" borderId="6" xfId="0" applyFont="1" applyFill="1" applyBorder="1" applyAlignment="1">
      <alignment horizontal="left" vertical="center" wrapText="1" indent="1"/>
    </xf>
    <xf numFmtId="3" fontId="21" fillId="6" borderId="2" xfId="0" applyNumberFormat="1" applyFont="1" applyFill="1" applyBorder="1" applyAlignment="1">
      <alignment horizontal="right" vertical="center" indent="1"/>
    </xf>
    <xf numFmtId="9" fontId="21" fillId="6" borderId="2" xfId="1" applyFont="1" applyFill="1" applyBorder="1" applyAlignment="1" applyProtection="1">
      <alignment horizontal="right" vertical="center" indent="1"/>
    </xf>
    <xf numFmtId="0" fontId="21" fillId="0" borderId="0" xfId="0" applyFont="1" applyAlignment="1">
      <alignment vertical="center"/>
    </xf>
    <xf numFmtId="0" fontId="21" fillId="6" borderId="6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left" vertical="center" wrapText="1"/>
    </xf>
    <xf numFmtId="9" fontId="21" fillId="6" borderId="2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Continuous" vertical="center" wrapText="1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43" fontId="8" fillId="0" borderId="0" xfId="3" applyFont="1" applyFill="1" applyBorder="1" applyAlignment="1">
      <alignment vertical="center"/>
    </xf>
    <xf numFmtId="3" fontId="23" fillId="0" borderId="0" xfId="0" applyNumberFormat="1" applyFont="1" applyAlignment="1">
      <alignment horizontal="center" vertical="center"/>
    </xf>
    <xf numFmtId="14" fontId="16" fillId="0" borderId="0" xfId="2" applyNumberFormat="1" applyFont="1" applyAlignment="1">
      <alignment horizontal="center" vertical="center"/>
    </xf>
    <xf numFmtId="9" fontId="21" fillId="6" borderId="2" xfId="1" applyFont="1" applyFill="1" applyBorder="1" applyAlignment="1">
      <alignment horizontal="right" vertical="center" inden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ercentagem" xfId="1" builtinId="5"/>
    <cellStyle name="Vírgula" xfId="3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9E8E9"/>
      <color rgb="FF000000"/>
      <color rgb="FFF5FDCF"/>
      <color rgb="FF194B50"/>
      <color rgb="FF7E9D3D"/>
      <color rgb="FFDEE2A6"/>
      <color rgb="FFE1EB9E"/>
      <color rgb="FFFCFEF0"/>
      <color rgb="FFCFDB51"/>
      <color rgb="FF469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R96"/>
  <sheetViews>
    <sheetView showGridLines="0" showZeros="0" tabSelected="1" showWhiteSpace="0" zoomScale="80" zoomScaleNormal="80" zoomScaleSheetLayoutView="55" zoomScalePageLayoutView="11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J108" sqref="J108"/>
    </sheetView>
  </sheetViews>
  <sheetFormatPr defaultColWidth="9.21875" defaultRowHeight="13.8" x14ac:dyDescent="0.3"/>
  <cols>
    <col min="1" max="1" width="2.6640625" style="20" customWidth="1"/>
    <col min="2" max="2" width="15.77734375" style="51" customWidth="1"/>
    <col min="3" max="3" width="71" style="52" bestFit="1" customWidth="1"/>
    <col min="4" max="5" width="13.77734375" style="53" customWidth="1"/>
    <col min="6" max="6" width="10.6640625" style="53" customWidth="1"/>
    <col min="7" max="10" width="13.77734375" style="53" customWidth="1"/>
    <col min="11" max="11" width="13.88671875" style="53" customWidth="1"/>
    <col min="12" max="14" width="12.6640625" style="53" customWidth="1"/>
    <col min="15" max="15" width="8.88671875" style="20" customWidth="1"/>
    <col min="16" max="16" width="13.77734375" style="20" customWidth="1"/>
    <col min="17" max="16384" width="9.21875" style="20"/>
  </cols>
  <sheetData>
    <row r="1" spans="2:18" ht="15" customHeight="1" x14ac:dyDescent="0.3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2:18" ht="15" customHeight="1" x14ac:dyDescent="0.3">
      <c r="B2" s="73" t="s">
        <v>152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8" ht="15" customHeigh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8" s="21" customFormat="1" ht="15" customHeight="1" x14ac:dyDescent="0.3">
      <c r="H4" s="75"/>
      <c r="M4" s="78" t="s">
        <v>155</v>
      </c>
      <c r="N4" s="85">
        <v>45991</v>
      </c>
    </row>
    <row r="5" spans="2:18" ht="30" customHeight="1" x14ac:dyDescent="0.3">
      <c r="B5" s="94" t="s">
        <v>91</v>
      </c>
      <c r="C5" s="94" t="s">
        <v>87</v>
      </c>
      <c r="D5" s="90" t="s">
        <v>117</v>
      </c>
      <c r="E5" s="90"/>
      <c r="F5" s="91" t="s">
        <v>85</v>
      </c>
      <c r="G5" s="93"/>
      <c r="H5" s="92"/>
      <c r="I5" s="91" t="s">
        <v>118</v>
      </c>
      <c r="J5" s="92"/>
      <c r="K5" s="91" t="s">
        <v>86</v>
      </c>
      <c r="L5" s="93"/>
      <c r="M5" s="93"/>
      <c r="N5" s="92"/>
      <c r="O5" s="22"/>
    </row>
    <row r="6" spans="2:18" s="24" customFormat="1" ht="30" customHeight="1" x14ac:dyDescent="0.3">
      <c r="B6" s="95"/>
      <c r="C6" s="95"/>
      <c r="D6" s="6" t="s">
        <v>149</v>
      </c>
      <c r="E6" s="6" t="s">
        <v>0</v>
      </c>
      <c r="F6" s="97" t="s">
        <v>1</v>
      </c>
      <c r="G6" s="6" t="s">
        <v>149</v>
      </c>
      <c r="H6" s="6" t="s">
        <v>0</v>
      </c>
      <c r="I6" s="6" t="s">
        <v>149</v>
      </c>
      <c r="J6" s="6" t="s">
        <v>0</v>
      </c>
      <c r="K6" s="87" t="s">
        <v>120</v>
      </c>
      <c r="L6" s="88"/>
      <c r="M6" s="87" t="s">
        <v>121</v>
      </c>
      <c r="N6" s="88"/>
      <c r="O6" s="23"/>
    </row>
    <row r="7" spans="2:18" s="24" customFormat="1" ht="35.25" customHeight="1" x14ac:dyDescent="0.3">
      <c r="B7" s="95"/>
      <c r="C7" s="95"/>
      <c r="D7" s="89" t="s">
        <v>104</v>
      </c>
      <c r="E7" s="89"/>
      <c r="F7" s="98"/>
      <c r="G7" s="89" t="s">
        <v>104</v>
      </c>
      <c r="H7" s="89"/>
      <c r="I7" s="89" t="s">
        <v>104</v>
      </c>
      <c r="J7" s="89"/>
      <c r="K7" s="6" t="s">
        <v>147</v>
      </c>
      <c r="L7" s="6" t="s">
        <v>105</v>
      </c>
      <c r="M7" s="6" t="s">
        <v>147</v>
      </c>
      <c r="N7" s="6" t="s">
        <v>105</v>
      </c>
      <c r="O7" s="23"/>
    </row>
    <row r="8" spans="2:18" s="24" customFormat="1" ht="15" customHeight="1" x14ac:dyDescent="0.3">
      <c r="B8" s="96"/>
      <c r="C8" s="96"/>
      <c r="D8" s="25" t="s">
        <v>106</v>
      </c>
      <c r="E8" s="25" t="s">
        <v>107</v>
      </c>
      <c r="F8" s="25" t="s">
        <v>108</v>
      </c>
      <c r="G8" s="25" t="s">
        <v>109</v>
      </c>
      <c r="H8" s="25" t="s">
        <v>110</v>
      </c>
      <c r="I8" s="25" t="s">
        <v>111</v>
      </c>
      <c r="J8" s="25" t="s">
        <v>112</v>
      </c>
      <c r="K8" s="25" t="s">
        <v>113</v>
      </c>
      <c r="L8" s="25" t="s">
        <v>114</v>
      </c>
      <c r="M8" s="25" t="s">
        <v>116</v>
      </c>
      <c r="N8" s="25" t="s">
        <v>115</v>
      </c>
      <c r="O8" s="23"/>
    </row>
    <row r="9" spans="2:18" s="24" customFormat="1" ht="5.0999999999999996" customHeight="1" x14ac:dyDescent="0.3"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</row>
    <row r="10" spans="2:18" s="31" customFormat="1" ht="30" customHeight="1" x14ac:dyDescent="0.3">
      <c r="B10" s="28" t="s">
        <v>84</v>
      </c>
      <c r="C10" s="29"/>
      <c r="D10" s="7">
        <f>D12+D72</f>
        <v>2942034.337489998</v>
      </c>
      <c r="E10" s="7">
        <f t="shared" ref="E10:J10" si="0">E12+E72</f>
        <v>1898033.7644912242</v>
      </c>
      <c r="F10" s="7">
        <f>F12+F72</f>
        <v>356634</v>
      </c>
      <c r="G10" s="7">
        <f t="shared" si="0"/>
        <v>1762651.9794568</v>
      </c>
      <c r="H10" s="7">
        <f t="shared" si="0"/>
        <v>1202434.8669559099</v>
      </c>
      <c r="I10" s="7">
        <f t="shared" si="0"/>
        <v>663888.78089000192</v>
      </c>
      <c r="J10" s="7">
        <f t="shared" si="0"/>
        <v>456660.7164600027</v>
      </c>
      <c r="K10" s="30">
        <f>+G10/D10</f>
        <v>0.59912692282191715</v>
      </c>
      <c r="L10" s="30">
        <f>+H10/E10</f>
        <v>0.63351605722263193</v>
      </c>
      <c r="M10" s="30">
        <f>+I10/D10</f>
        <v>0.22565636723886773</v>
      </c>
      <c r="N10" s="30">
        <f>+J10/E10</f>
        <v>0.24059672962794343</v>
      </c>
      <c r="O10" s="8"/>
      <c r="Q10" s="76"/>
      <c r="R10" s="76"/>
    </row>
    <row r="11" spans="2:18" s="24" customFormat="1" ht="5.0999999999999996" customHeight="1" x14ac:dyDescent="0.3">
      <c r="B11" s="26"/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</row>
    <row r="12" spans="2:18" s="33" customFormat="1" ht="30" customHeight="1" x14ac:dyDescent="0.3">
      <c r="B12" s="14" t="s">
        <v>144</v>
      </c>
      <c r="C12" s="9"/>
      <c r="D12" s="10">
        <f t="shared" ref="D12:J12" si="1">D14+D31+D41+D55+D65</f>
        <v>2559010.3062299979</v>
      </c>
      <c r="E12" s="10">
        <f t="shared" si="1"/>
        <v>1650350.0921028825</v>
      </c>
      <c r="F12" s="10">
        <f>F14+F31+F41+F55+F65</f>
        <v>348307</v>
      </c>
      <c r="G12" s="10">
        <f t="shared" si="1"/>
        <v>1561781.5163568</v>
      </c>
      <c r="H12" s="10">
        <f t="shared" si="1"/>
        <v>1068701.601813948</v>
      </c>
      <c r="I12" s="10">
        <f t="shared" si="1"/>
        <v>600941.57427000185</v>
      </c>
      <c r="J12" s="10">
        <f t="shared" si="1"/>
        <v>413149.07351000269</v>
      </c>
      <c r="K12" s="32">
        <f>+G12/D12</f>
        <v>0.61030684892303466</v>
      </c>
      <c r="L12" s="32">
        <f>+H12/E12</f>
        <v>0.6475605430192114</v>
      </c>
      <c r="M12" s="32">
        <f>+I12/D12</f>
        <v>0.23483358891013026</v>
      </c>
      <c r="N12" s="32">
        <f>+J12/E12</f>
        <v>0.25034026143117705</v>
      </c>
      <c r="O12" s="8"/>
    </row>
    <row r="13" spans="2:18" s="24" customFormat="1" ht="5.0999999999999996" customHeight="1" x14ac:dyDescent="0.3">
      <c r="B13" s="27"/>
      <c r="C13" s="2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</row>
    <row r="14" spans="2:18" s="33" customFormat="1" ht="20.100000000000001" customHeight="1" x14ac:dyDescent="0.3">
      <c r="B14" s="55" t="s">
        <v>92</v>
      </c>
      <c r="C14" s="34"/>
      <c r="D14" s="11">
        <f>+D15+D28</f>
        <v>1688350.5862299984</v>
      </c>
      <c r="E14" s="11">
        <f t="shared" ref="E14:J14" si="2">+E15+E28</f>
        <v>1119247.1225089999</v>
      </c>
      <c r="F14" s="11">
        <f>+F15+F28</f>
        <v>340336</v>
      </c>
      <c r="G14" s="11">
        <f t="shared" si="2"/>
        <v>1392575.3082568001</v>
      </c>
      <c r="H14" s="11">
        <f t="shared" si="2"/>
        <v>961802.20431226143</v>
      </c>
      <c r="I14" s="11">
        <f t="shared" si="2"/>
        <v>566248.68888000189</v>
      </c>
      <c r="J14" s="11">
        <f t="shared" si="2"/>
        <v>387569.71707000269</v>
      </c>
      <c r="K14" s="35">
        <f>+G14/D14</f>
        <v>0.8248140638647512</v>
      </c>
      <c r="L14" s="35">
        <f>+H14/E14</f>
        <v>0.85932961985750167</v>
      </c>
      <c r="M14" s="36">
        <f>+I14/D14</f>
        <v>0.33538572705116099</v>
      </c>
      <c r="N14" s="36">
        <f>+J14/E14</f>
        <v>0.34627716192041069</v>
      </c>
      <c r="O14" s="8"/>
    </row>
    <row r="15" spans="2:18" s="72" customFormat="1" ht="15" customHeight="1" x14ac:dyDescent="0.3">
      <c r="B15" s="64" t="s">
        <v>97</v>
      </c>
      <c r="C15" s="69"/>
      <c r="D15" s="66">
        <f>+SUM(D16:D27)</f>
        <v>1162810.5872499985</v>
      </c>
      <c r="E15" s="66">
        <f>+SUM(E16:E27)</f>
        <v>824269.12306999997</v>
      </c>
      <c r="F15" s="66">
        <f>+SUM(F16:F27)</f>
        <v>195455</v>
      </c>
      <c r="G15" s="66">
        <f t="shared" ref="G15:J15" si="3">+SUM(G16:G27)</f>
        <v>1214092.5322568</v>
      </c>
      <c r="H15" s="66">
        <f t="shared" si="3"/>
        <v>861526.84763276053</v>
      </c>
      <c r="I15" s="66">
        <f t="shared" si="3"/>
        <v>418205.79270999978</v>
      </c>
      <c r="J15" s="66">
        <f t="shared" si="3"/>
        <v>304406.12995000056</v>
      </c>
      <c r="K15" s="71">
        <f>+G15/D15</f>
        <v>1.0441017183444135</v>
      </c>
      <c r="L15" s="71">
        <f>+H15/E15</f>
        <v>1.0452009222715923</v>
      </c>
      <c r="M15" s="67">
        <f>+I15/D15</f>
        <v>0.35965082989056724</v>
      </c>
      <c r="N15" s="67">
        <f>+J15/E15</f>
        <v>0.36930429811107857</v>
      </c>
      <c r="O15" s="68"/>
    </row>
    <row r="16" spans="2:18" ht="15" customHeight="1" x14ac:dyDescent="0.3">
      <c r="B16" s="37" t="s">
        <v>2</v>
      </c>
      <c r="C16" s="4" t="s">
        <v>3</v>
      </c>
      <c r="D16" s="5">
        <v>3091.9630499999994</v>
      </c>
      <c r="E16" s="5">
        <v>2220.649328</v>
      </c>
      <c r="F16" s="5">
        <v>183</v>
      </c>
      <c r="G16" s="5">
        <v>2794.6395660000003</v>
      </c>
      <c r="H16" s="5">
        <f>J16+((G16-I16)*0.7)</f>
        <v>2019.647712200001</v>
      </c>
      <c r="I16" s="5">
        <v>1577.4292199999998</v>
      </c>
      <c r="J16" s="5">
        <v>1167.6004700000005</v>
      </c>
      <c r="K16" s="38">
        <f t="shared" ref="K16:K25" si="4">+G16/D16</f>
        <v>0.90383989743991311</v>
      </c>
      <c r="L16" s="38">
        <f t="shared" ref="L16:L25" si="5">+H16/E16</f>
        <v>0.90948520630178542</v>
      </c>
      <c r="M16" s="38">
        <f t="shared" ref="M16:M25" si="6">+I16/D16</f>
        <v>0.51017078616123823</v>
      </c>
      <c r="N16" s="38">
        <f t="shared" ref="N16:N25" si="7">+J16/E16</f>
        <v>0.52579236860039724</v>
      </c>
      <c r="P16" s="53"/>
    </row>
    <row r="17" spans="2:14" ht="15" customHeight="1" x14ac:dyDescent="0.3">
      <c r="B17" s="39" t="s">
        <v>4</v>
      </c>
      <c r="C17" s="4" t="s">
        <v>5</v>
      </c>
      <c r="D17" s="5">
        <v>66993.072200000141</v>
      </c>
      <c r="E17" s="5">
        <v>48211.755782000073</v>
      </c>
      <c r="F17" s="5">
        <v>6667</v>
      </c>
      <c r="G17" s="5">
        <v>66037.155115250003</v>
      </c>
      <c r="H17" s="5">
        <f t="shared" ref="H17:H23" si="8">J17+((G17-I17)*0.7)</f>
        <v>47717.217567675005</v>
      </c>
      <c r="I17" s="5">
        <v>36394.510090000011</v>
      </c>
      <c r="J17" s="5">
        <v>26967.366050000011</v>
      </c>
      <c r="K17" s="38">
        <f t="shared" si="4"/>
        <v>0.98573110542092535</v>
      </c>
      <c r="L17" s="38">
        <f t="shared" si="5"/>
        <v>0.98974237286521505</v>
      </c>
      <c r="M17" s="38">
        <f t="shared" si="6"/>
        <v>0.543257815992501</v>
      </c>
      <c r="N17" s="38">
        <f t="shared" si="7"/>
        <v>0.5593524984225593</v>
      </c>
    </row>
    <row r="18" spans="2:14" ht="15" customHeight="1" x14ac:dyDescent="0.3">
      <c r="B18" s="39" t="s">
        <v>6</v>
      </c>
      <c r="C18" s="4" t="s">
        <v>7</v>
      </c>
      <c r="D18" s="5">
        <v>15654.907349999987</v>
      </c>
      <c r="E18" s="5">
        <v>11271.531845999993</v>
      </c>
      <c r="F18" s="5">
        <v>713</v>
      </c>
      <c r="G18" s="5">
        <v>16531.28973335</v>
      </c>
      <c r="H18" s="5">
        <f t="shared" si="8"/>
        <v>11919.780691345002</v>
      </c>
      <c r="I18" s="5">
        <v>6086.2311599999966</v>
      </c>
      <c r="J18" s="5">
        <v>4608.2396899999994</v>
      </c>
      <c r="K18" s="38">
        <f t="shared" si="4"/>
        <v>1.0559813203461734</v>
      </c>
      <c r="L18" s="38">
        <f t="shared" si="5"/>
        <v>1.0575120448756978</v>
      </c>
      <c r="M18" s="38">
        <f t="shared" si="6"/>
        <v>0.38877465218598062</v>
      </c>
      <c r="N18" s="38">
        <f t="shared" si="7"/>
        <v>0.40883881205866068</v>
      </c>
    </row>
    <row r="19" spans="2:14" ht="15" customHeight="1" x14ac:dyDescent="0.3">
      <c r="B19" s="39" t="s">
        <v>8</v>
      </c>
      <c r="C19" s="4" t="s">
        <v>9</v>
      </c>
      <c r="D19" s="5">
        <v>37163.891199999984</v>
      </c>
      <c r="E19" s="5">
        <v>26750.351801999983</v>
      </c>
      <c r="F19" s="5">
        <v>1195</v>
      </c>
      <c r="G19" s="5">
        <v>37009.416419000001</v>
      </c>
      <c r="H19" s="5">
        <f t="shared" si="8"/>
        <v>26730.99652030001</v>
      </c>
      <c r="I19" s="5">
        <v>14515.681189999988</v>
      </c>
      <c r="J19" s="5">
        <v>10985.381860000005</v>
      </c>
      <c r="K19" s="38">
        <f t="shared" si="4"/>
        <v>0.9958434174675449</v>
      </c>
      <c r="L19" s="38">
        <f t="shared" si="5"/>
        <v>0.99927644758307343</v>
      </c>
      <c r="M19" s="38">
        <f t="shared" si="6"/>
        <v>0.39058561203623354</v>
      </c>
      <c r="N19" s="38">
        <f t="shared" si="7"/>
        <v>0.41066307992176332</v>
      </c>
    </row>
    <row r="20" spans="2:14" ht="15" customHeight="1" x14ac:dyDescent="0.3">
      <c r="B20" s="37" t="s">
        <v>10</v>
      </c>
      <c r="C20" s="4" t="s">
        <v>11</v>
      </c>
      <c r="D20" s="5">
        <v>53423.876249999899</v>
      </c>
      <c r="E20" s="5">
        <v>38464.694109999953</v>
      </c>
      <c r="F20" s="5">
        <v>8545</v>
      </c>
      <c r="G20" s="5">
        <v>59012.801545699986</v>
      </c>
      <c r="H20" s="5">
        <f t="shared" si="8"/>
        <v>42487.35527099001</v>
      </c>
      <c r="I20" s="5">
        <v>20804.791029999997</v>
      </c>
      <c r="J20" s="5">
        <v>15741.74791000002</v>
      </c>
      <c r="K20" s="38">
        <f t="shared" si="4"/>
        <v>1.104614746963444</v>
      </c>
      <c r="L20" s="38">
        <f t="shared" si="5"/>
        <v>1.104580609675101</v>
      </c>
      <c r="M20" s="38">
        <f t="shared" si="6"/>
        <v>0.38942870660756362</v>
      </c>
      <c r="N20" s="38">
        <f t="shared" si="7"/>
        <v>0.40925186782929651</v>
      </c>
    </row>
    <row r="21" spans="2:14" ht="15" customHeight="1" x14ac:dyDescent="0.3">
      <c r="B21" s="39" t="s">
        <v>12</v>
      </c>
      <c r="C21" s="4" t="s">
        <v>13</v>
      </c>
      <c r="D21" s="5">
        <v>115667.72855000031</v>
      </c>
      <c r="E21" s="5">
        <v>83278.563048000273</v>
      </c>
      <c r="F21" s="5">
        <v>34883</v>
      </c>
      <c r="G21" s="5">
        <v>118428.89895750002</v>
      </c>
      <c r="H21" s="5">
        <f t="shared" si="8"/>
        <v>85520.674459250062</v>
      </c>
      <c r="I21" s="5">
        <v>64304.567730000119</v>
      </c>
      <c r="J21" s="5">
        <v>47633.64260000013</v>
      </c>
      <c r="K21" s="38">
        <f t="shared" si="4"/>
        <v>1.0238715711124744</v>
      </c>
      <c r="L21" s="38">
        <f t="shared" si="5"/>
        <v>1.0269230319206815</v>
      </c>
      <c r="M21" s="38">
        <f t="shared" si="6"/>
        <v>0.55594216758741688</v>
      </c>
      <c r="N21" s="38">
        <f t="shared" si="7"/>
        <v>0.57197964105774679</v>
      </c>
    </row>
    <row r="22" spans="2:14" ht="15" customHeight="1" x14ac:dyDescent="0.3">
      <c r="B22" s="39" t="s">
        <v>14</v>
      </c>
      <c r="C22" s="4" t="s">
        <v>15</v>
      </c>
      <c r="D22" s="5">
        <v>159881.48029999816</v>
      </c>
      <c r="E22" s="5">
        <v>115110.7161379998</v>
      </c>
      <c r="F22" s="5">
        <v>93784</v>
      </c>
      <c r="G22" s="5">
        <v>162949.46834999998</v>
      </c>
      <c r="H22" s="5">
        <f t="shared" si="8"/>
        <v>117684.70860500068</v>
      </c>
      <c r="I22" s="5">
        <v>88232.226699999737</v>
      </c>
      <c r="J22" s="5">
        <v>65382.639450000512</v>
      </c>
      <c r="K22" s="38">
        <f t="shared" si="4"/>
        <v>1.0191891396317141</v>
      </c>
      <c r="L22" s="38">
        <f t="shared" si="5"/>
        <v>1.0223610151457581</v>
      </c>
      <c r="M22" s="38">
        <f t="shared" si="6"/>
        <v>0.55186020628807475</v>
      </c>
      <c r="N22" s="38">
        <f t="shared" si="7"/>
        <v>0.56799785149122795</v>
      </c>
    </row>
    <row r="23" spans="2:14" ht="15" customHeight="1" x14ac:dyDescent="0.3">
      <c r="B23" s="39" t="s">
        <v>16</v>
      </c>
      <c r="C23" s="4" t="s">
        <v>17</v>
      </c>
      <c r="D23" s="5">
        <v>83856.533349999954</v>
      </c>
      <c r="E23" s="5">
        <v>60006.866515999922</v>
      </c>
      <c r="F23" s="5">
        <v>14143</v>
      </c>
      <c r="G23" s="5">
        <v>92297.12</v>
      </c>
      <c r="H23" s="5">
        <f t="shared" si="8"/>
        <v>66083.408787999942</v>
      </c>
      <c r="I23" s="5">
        <v>27309.943259999985</v>
      </c>
      <c r="J23" s="5">
        <v>20592.385069999946</v>
      </c>
      <c r="K23" s="38">
        <f t="shared" si="4"/>
        <v>1.1006550868823872</v>
      </c>
      <c r="L23" s="38">
        <f t="shared" si="5"/>
        <v>1.101264115672159</v>
      </c>
      <c r="M23" s="38">
        <f t="shared" si="6"/>
        <v>0.32567460362347544</v>
      </c>
      <c r="N23" s="38">
        <f t="shared" si="7"/>
        <v>0.34316714512178864</v>
      </c>
    </row>
    <row r="24" spans="2:14" ht="15" customHeight="1" x14ac:dyDescent="0.3">
      <c r="B24" s="39" t="s">
        <v>18</v>
      </c>
      <c r="C24" s="4" t="s">
        <v>148</v>
      </c>
      <c r="D24" s="5">
        <v>37010</v>
      </c>
      <c r="E24" s="5">
        <v>25907</v>
      </c>
      <c r="F24" s="5">
        <v>83</v>
      </c>
      <c r="G24" s="5">
        <v>28349.057570000008</v>
      </c>
      <c r="H24" s="5">
        <f>J24+(G24-I24)*0.7</f>
        <v>19844.340299000003</v>
      </c>
      <c r="I24" s="5">
        <v>0</v>
      </c>
      <c r="J24" s="5">
        <v>0</v>
      </c>
      <c r="K24" s="40">
        <f t="shared" si="4"/>
        <v>0.76598372250743063</v>
      </c>
      <c r="L24" s="40">
        <f t="shared" si="5"/>
        <v>0.76598372250743052</v>
      </c>
      <c r="M24" s="40">
        <f t="shared" si="6"/>
        <v>0</v>
      </c>
      <c r="N24" s="40">
        <f t="shared" si="7"/>
        <v>0</v>
      </c>
    </row>
    <row r="25" spans="2:14" ht="15" customHeight="1" x14ac:dyDescent="0.3">
      <c r="B25" s="39" t="s">
        <v>19</v>
      </c>
      <c r="C25" s="4" t="s">
        <v>156</v>
      </c>
      <c r="D25" s="5">
        <v>20067.134999999998</v>
      </c>
      <c r="E25" s="5">
        <v>14046.994500000001</v>
      </c>
      <c r="F25" s="41">
        <v>4605</v>
      </c>
      <c r="G25" s="5">
        <v>9928.6110000000008</v>
      </c>
      <c r="H25" s="5">
        <f>J25+(G25-I25)*0.7</f>
        <v>6990.8437650000023</v>
      </c>
      <c r="I25" s="5">
        <v>4492.5919499999991</v>
      </c>
      <c r="J25" s="5">
        <v>3185.6304300000015</v>
      </c>
      <c r="K25" s="40">
        <f t="shared" si="4"/>
        <v>0.49476973170310568</v>
      </c>
      <c r="L25" s="40">
        <f t="shared" si="5"/>
        <v>0.49767541127748016</v>
      </c>
      <c r="M25" s="40">
        <f t="shared" si="6"/>
        <v>0.22387809470559697</v>
      </c>
      <c r="N25" s="40">
        <f t="shared" si="7"/>
        <v>0.22678377427997151</v>
      </c>
    </row>
    <row r="26" spans="2:14" ht="15" customHeight="1" x14ac:dyDescent="0.3">
      <c r="B26" s="39" t="s">
        <v>138</v>
      </c>
      <c r="C26" s="4" t="s">
        <v>139</v>
      </c>
      <c r="D26" s="5">
        <v>210000</v>
      </c>
      <c r="E26" s="5">
        <v>147000</v>
      </c>
      <c r="F26" s="5">
        <v>12673</v>
      </c>
      <c r="G26" s="5">
        <v>228882.68100000001</v>
      </c>
      <c r="H26" s="5">
        <f t="shared" ref="H26" si="9">J26+((G26-I26)*0.7)</f>
        <v>160217.885327</v>
      </c>
      <c r="I26" s="5">
        <v>61343.991390000017</v>
      </c>
      <c r="J26" s="5">
        <v>42940.80260000001</v>
      </c>
      <c r="K26" s="40">
        <f t="shared" ref="K26:K27" si="10">+G26/D26</f>
        <v>1.0899175285714287</v>
      </c>
      <c r="L26" s="40">
        <f t="shared" ref="L26:L27" si="11">+H26/E26</f>
        <v>1.0899175872585034</v>
      </c>
      <c r="M26" s="40">
        <f t="shared" ref="M26:M27" si="12">+I26/D26</f>
        <v>0.29211424471428582</v>
      </c>
      <c r="N26" s="40">
        <f t="shared" ref="N26:N27" si="13">+J26/E26</f>
        <v>0.29211430340136063</v>
      </c>
    </row>
    <row r="27" spans="2:14" ht="15" customHeight="1" x14ac:dyDescent="0.3">
      <c r="B27" s="39" t="s">
        <v>140</v>
      </c>
      <c r="C27" s="4" t="s">
        <v>154</v>
      </c>
      <c r="D27" s="5">
        <v>360000</v>
      </c>
      <c r="E27" s="5">
        <v>251999.99999999997</v>
      </c>
      <c r="F27" s="5">
        <v>17981</v>
      </c>
      <c r="G27" s="5">
        <v>391871.39299999998</v>
      </c>
      <c r="H27" s="5">
        <f t="shared" ref="H27" si="14">J27+((G27-I27)*0.7)</f>
        <v>274309.9886269999</v>
      </c>
      <c r="I27" s="5">
        <v>93143.828989999965</v>
      </c>
      <c r="J27" s="5">
        <v>65200.693819999928</v>
      </c>
      <c r="K27" s="40">
        <f t="shared" si="10"/>
        <v>1.0885316472222222</v>
      </c>
      <c r="L27" s="40">
        <f t="shared" si="11"/>
        <v>1.0885317009007933</v>
      </c>
      <c r="M27" s="40">
        <f t="shared" si="12"/>
        <v>0.25873285830555548</v>
      </c>
      <c r="N27" s="40">
        <f t="shared" si="13"/>
        <v>0.25873291198412673</v>
      </c>
    </row>
    <row r="28" spans="2:14" s="68" customFormat="1" ht="15" customHeight="1" x14ac:dyDescent="0.3">
      <c r="B28" s="64" t="s">
        <v>98</v>
      </c>
      <c r="C28" s="65"/>
      <c r="D28" s="66">
        <f>+SUM(D29:D30)</f>
        <v>525539.99897999992</v>
      </c>
      <c r="E28" s="66">
        <f t="shared" ref="E28:J28" si="15">+SUM(E29:E30)</f>
        <v>294977.99943899998</v>
      </c>
      <c r="F28" s="66">
        <f>+SUM(F29:F30)</f>
        <v>144881</v>
      </c>
      <c r="G28" s="66">
        <f>+SUM(G29:G30)</f>
        <v>178482.77600000001</v>
      </c>
      <c r="H28" s="66">
        <f t="shared" si="15"/>
        <v>100275.35667950092</v>
      </c>
      <c r="I28" s="66">
        <f t="shared" si="15"/>
        <v>148042.89617000218</v>
      </c>
      <c r="J28" s="66">
        <f t="shared" si="15"/>
        <v>83163.587120002107</v>
      </c>
      <c r="K28" s="67">
        <f>+G28/D28</f>
        <v>0.3396178718012145</v>
      </c>
      <c r="L28" s="67">
        <f>+H28/E28</f>
        <v>0.33994181555983255</v>
      </c>
      <c r="M28" s="67">
        <f>+I28/D28</f>
        <v>0.28169672424046288</v>
      </c>
      <c r="N28" s="67">
        <f>+J28/E28</f>
        <v>0.28193149074902424</v>
      </c>
    </row>
    <row r="29" spans="2:14" ht="15" customHeight="1" x14ac:dyDescent="0.3">
      <c r="B29" s="39" t="s">
        <v>20</v>
      </c>
      <c r="C29" s="4" t="s">
        <v>21</v>
      </c>
      <c r="D29" s="5">
        <v>485999.99897999997</v>
      </c>
      <c r="E29" s="5">
        <v>267299.99943899998</v>
      </c>
      <c r="F29" s="5">
        <v>134322</v>
      </c>
      <c r="G29" s="5">
        <v>164417.47200000001</v>
      </c>
      <c r="H29" s="5">
        <f>J29+((G29-I29)*0.55)</f>
        <v>90429.640615500917</v>
      </c>
      <c r="I29" s="5">
        <v>136443.1631900022</v>
      </c>
      <c r="J29" s="5">
        <v>75043.770770002127</v>
      </c>
      <c r="K29" s="38">
        <f t="shared" ref="K29:L35" si="16">+G29/D29</f>
        <v>0.33830755626558379</v>
      </c>
      <c r="L29" s="38">
        <f t="shared" si="16"/>
        <v>0.33830767229813519</v>
      </c>
      <c r="M29" s="40">
        <f t="shared" ref="M29:M30" si="17">+I29/D29</f>
        <v>0.28074724995136707</v>
      </c>
      <c r="N29" s="40">
        <f t="shared" ref="N29:N30" si="18">+J29/E29</f>
        <v>0.28074736598391847</v>
      </c>
    </row>
    <row r="30" spans="2:14" ht="15" customHeight="1" x14ac:dyDescent="0.3">
      <c r="B30" s="39" t="s">
        <v>22</v>
      </c>
      <c r="C30" s="4" t="s">
        <v>23</v>
      </c>
      <c r="D30" s="5">
        <v>39540</v>
      </c>
      <c r="E30" s="5">
        <v>27678</v>
      </c>
      <c r="F30" s="5">
        <v>10559</v>
      </c>
      <c r="G30" s="5">
        <v>14065.304</v>
      </c>
      <c r="H30" s="5">
        <f t="shared" ref="H30" si="19">J30+((G30-I30)*0.7)</f>
        <v>9845.716064000002</v>
      </c>
      <c r="I30" s="5">
        <v>11599.73297999997</v>
      </c>
      <c r="J30" s="5">
        <v>8119.816349999981</v>
      </c>
      <c r="K30" s="38">
        <f t="shared" si="16"/>
        <v>0.35572341932220536</v>
      </c>
      <c r="L30" s="38">
        <f t="shared" si="16"/>
        <v>0.35572353724980138</v>
      </c>
      <c r="M30" s="40">
        <f t="shared" si="17"/>
        <v>0.29336704552351972</v>
      </c>
      <c r="N30" s="40">
        <f t="shared" si="18"/>
        <v>0.29336716345111574</v>
      </c>
    </row>
    <row r="31" spans="2:14" s="8" customFormat="1" ht="20.100000000000001" customHeight="1" x14ac:dyDescent="0.3">
      <c r="B31" s="55" t="s">
        <v>145</v>
      </c>
      <c r="C31" s="34"/>
      <c r="D31" s="11">
        <f>+D32+D37</f>
        <v>505420.64009999996</v>
      </c>
      <c r="E31" s="11">
        <f t="shared" ref="E31:J31" si="20">+E32+E37</f>
        <v>304750.85380993853</v>
      </c>
      <c r="F31" s="11">
        <f>+F32+F37</f>
        <v>958</v>
      </c>
      <c r="G31" s="11">
        <f t="shared" si="20"/>
        <v>106918.60731999998</v>
      </c>
      <c r="H31" s="11">
        <f t="shared" si="20"/>
        <v>64249.73581682855</v>
      </c>
      <c r="I31" s="11">
        <f t="shared" si="20"/>
        <v>824.72669999999994</v>
      </c>
      <c r="J31" s="11">
        <f t="shared" si="20"/>
        <v>504.07296000000008</v>
      </c>
      <c r="K31" s="36">
        <f>+G31/D31</f>
        <v>0.21154380893278441</v>
      </c>
      <c r="L31" s="36">
        <f>+H31/E31</f>
        <v>0.21082709043663142</v>
      </c>
      <c r="M31" s="36">
        <f>+I31/D31</f>
        <v>1.6317630000959669E-3</v>
      </c>
      <c r="N31" s="36">
        <f>+J31/E31</f>
        <v>1.6540493773788444E-3</v>
      </c>
    </row>
    <row r="32" spans="2:14" s="68" customFormat="1" ht="15" customHeight="1" x14ac:dyDescent="0.3">
      <c r="B32" s="64" t="s">
        <v>157</v>
      </c>
      <c r="C32" s="69"/>
      <c r="D32" s="66">
        <f>+SUM(D33:D36)</f>
        <v>260369.56873999999</v>
      </c>
      <c r="E32" s="66">
        <f t="shared" ref="E32:J32" si="21">+SUM(E33:E36)</f>
        <v>157513.87006244416</v>
      </c>
      <c r="F32" s="66">
        <f t="shared" si="21"/>
        <v>390</v>
      </c>
      <c r="G32" s="66">
        <f t="shared" si="21"/>
        <v>52042.721950000006</v>
      </c>
      <c r="H32" s="66">
        <f t="shared" si="21"/>
        <v>31277.997323662676</v>
      </c>
      <c r="I32" s="66">
        <f t="shared" si="21"/>
        <v>824.72669999999994</v>
      </c>
      <c r="J32" s="66">
        <f t="shared" si="21"/>
        <v>504.07296000000008</v>
      </c>
      <c r="K32" s="67">
        <f t="shared" ref="K32" si="22">+G32/D32</f>
        <v>0.19988020182945751</v>
      </c>
      <c r="L32" s="67">
        <f t="shared" ref="L32" si="23">+H32/E32</f>
        <v>0.19857297208977823</v>
      </c>
      <c r="M32" s="67">
        <f t="shared" ref="M32" si="24">+I32/D32</f>
        <v>3.1675233937325299E-3</v>
      </c>
      <c r="N32" s="67">
        <f t="shared" ref="N32" si="25">+J32/E32</f>
        <v>3.2001814176755828E-3</v>
      </c>
    </row>
    <row r="33" spans="2:14" ht="15" customHeight="1" x14ac:dyDescent="0.3">
      <c r="B33" s="39" t="s">
        <v>24</v>
      </c>
      <c r="C33" s="4" t="s">
        <v>25</v>
      </c>
      <c r="D33" s="5">
        <v>168443.9</v>
      </c>
      <c r="E33" s="5">
        <v>101208.17521433979</v>
      </c>
      <c r="F33" s="41">
        <v>49</v>
      </c>
      <c r="G33" s="5">
        <v>7751.4420500000006</v>
      </c>
      <c r="H33" s="5">
        <f>J33+((G33-I33)/(D33/E33))</f>
        <v>4657.3921950287386</v>
      </c>
      <c r="I33" s="5">
        <v>0</v>
      </c>
      <c r="J33" s="5">
        <v>0</v>
      </c>
      <c r="K33" s="40">
        <f t="shared" si="16"/>
        <v>4.6017944550084636E-2</v>
      </c>
      <c r="L33" s="40">
        <f t="shared" si="16"/>
        <v>4.6017944550084636E-2</v>
      </c>
      <c r="M33" s="40">
        <f t="shared" ref="M33:N35" si="26">+I33/D33</f>
        <v>0</v>
      </c>
      <c r="N33" s="40">
        <f t="shared" si="26"/>
        <v>0</v>
      </c>
    </row>
    <row r="34" spans="2:14" ht="15" customHeight="1" x14ac:dyDescent="0.3">
      <c r="B34" s="39" t="s">
        <v>26</v>
      </c>
      <c r="C34" s="4" t="s">
        <v>158</v>
      </c>
      <c r="D34" s="5">
        <v>66019.398179999989</v>
      </c>
      <c r="E34" s="5">
        <v>39667.229384128441</v>
      </c>
      <c r="F34" s="41">
        <v>341</v>
      </c>
      <c r="G34" s="5">
        <v>44291.279900000009</v>
      </c>
      <c r="H34" s="5">
        <f>J34+((G34-I34)/(D34/E34))</f>
        <v>26620.605128633935</v>
      </c>
      <c r="I34" s="5">
        <v>824.72669999999994</v>
      </c>
      <c r="J34" s="5">
        <v>504.07296000000008</v>
      </c>
      <c r="K34" s="38">
        <f t="shared" si="16"/>
        <v>0.67088281809599515</v>
      </c>
      <c r="L34" s="38">
        <f t="shared" si="16"/>
        <v>0.67109817201615063</v>
      </c>
      <c r="M34" s="40">
        <f t="shared" si="26"/>
        <v>1.2492187489371023E-2</v>
      </c>
      <c r="N34" s="40">
        <f t="shared" si="26"/>
        <v>1.2707541409526539E-2</v>
      </c>
    </row>
    <row r="35" spans="2:14" ht="15" customHeight="1" x14ac:dyDescent="0.3">
      <c r="B35" s="39" t="s">
        <v>27</v>
      </c>
      <c r="C35" s="4" t="s">
        <v>28</v>
      </c>
      <c r="D35" s="5">
        <v>10820</v>
      </c>
      <c r="E35" s="5">
        <v>7574</v>
      </c>
      <c r="F35" s="41">
        <v>0</v>
      </c>
      <c r="G35" s="5">
        <v>0</v>
      </c>
      <c r="H35" s="5">
        <f>J35+((G35-I35)*0.7)</f>
        <v>0</v>
      </c>
      <c r="I35" s="5">
        <v>0</v>
      </c>
      <c r="J35" s="5">
        <v>0</v>
      </c>
      <c r="K35" s="40">
        <f t="shared" si="16"/>
        <v>0</v>
      </c>
      <c r="L35" s="40">
        <f t="shared" si="16"/>
        <v>0</v>
      </c>
      <c r="M35" s="40">
        <f t="shared" si="26"/>
        <v>0</v>
      </c>
      <c r="N35" s="40">
        <f t="shared" si="26"/>
        <v>0</v>
      </c>
    </row>
    <row r="36" spans="2:14" x14ac:dyDescent="0.3">
      <c r="B36" s="39" t="s">
        <v>141</v>
      </c>
      <c r="C36" s="4" t="s">
        <v>159</v>
      </c>
      <c r="D36" s="5">
        <v>15086.270560000001</v>
      </c>
      <c r="E36" s="5">
        <v>9064.4654639759356</v>
      </c>
      <c r="F36" s="41">
        <v>0</v>
      </c>
      <c r="G36" s="5">
        <v>0</v>
      </c>
      <c r="H36" s="5">
        <f>J36+((G36-I36)/(D36/E36))</f>
        <v>0</v>
      </c>
      <c r="I36" s="5"/>
      <c r="J36" s="5"/>
      <c r="K36" s="40"/>
      <c r="L36" s="40"/>
      <c r="M36" s="40"/>
      <c r="N36" s="40"/>
    </row>
    <row r="37" spans="2:14" s="68" customFormat="1" ht="15" customHeight="1" x14ac:dyDescent="0.3">
      <c r="B37" s="64" t="s">
        <v>99</v>
      </c>
      <c r="C37" s="65"/>
      <c r="D37" s="66">
        <f>+SUM(D38:D40)</f>
        <v>245051.07135999997</v>
      </c>
      <c r="E37" s="66">
        <f t="shared" ref="E37:J37" si="27">+SUM(E38:E40)</f>
        <v>147236.98374749435</v>
      </c>
      <c r="F37" s="66">
        <f t="shared" si="27"/>
        <v>568</v>
      </c>
      <c r="G37" s="66">
        <f t="shared" si="27"/>
        <v>54875.885369999982</v>
      </c>
      <c r="H37" s="66">
        <f t="shared" si="27"/>
        <v>32971.738493165874</v>
      </c>
      <c r="I37" s="66">
        <f t="shared" si="27"/>
        <v>0</v>
      </c>
      <c r="J37" s="66">
        <f t="shared" si="27"/>
        <v>0</v>
      </c>
      <c r="K37" s="86">
        <f t="shared" ref="K37:L39" si="28">+G37/D37</f>
        <v>0.22393652500862907</v>
      </c>
      <c r="L37" s="86">
        <f t="shared" si="28"/>
        <v>0.22393652500862904</v>
      </c>
      <c r="M37" s="86">
        <f t="shared" ref="M37:N39" si="29">+I37/D37</f>
        <v>0</v>
      </c>
      <c r="N37" s="86">
        <f t="shared" si="29"/>
        <v>0</v>
      </c>
    </row>
    <row r="38" spans="2:14" ht="15" customHeight="1" x14ac:dyDescent="0.3">
      <c r="B38" s="39" t="s">
        <v>29</v>
      </c>
      <c r="C38" s="4" t="s">
        <v>30</v>
      </c>
      <c r="D38" s="5">
        <v>75040.98</v>
      </c>
      <c r="E38" s="5">
        <v>45087.774933350316</v>
      </c>
      <c r="F38" s="41">
        <v>284</v>
      </c>
      <c r="G38" s="5">
        <v>11707.178470000001</v>
      </c>
      <c r="H38" s="5">
        <f t="shared" ref="H38" si="30">J38+((G38-I38)/(D38/E38))</f>
        <v>7034.1649050948499</v>
      </c>
      <c r="I38" s="5">
        <v>0</v>
      </c>
      <c r="J38" s="5">
        <v>0</v>
      </c>
      <c r="K38" s="40">
        <f t="shared" si="28"/>
        <v>0.15601046881317385</v>
      </c>
      <c r="L38" s="40">
        <f t="shared" si="28"/>
        <v>0.15601046881317382</v>
      </c>
      <c r="M38" s="40">
        <f t="shared" si="29"/>
        <v>0</v>
      </c>
      <c r="N38" s="40">
        <f t="shared" si="29"/>
        <v>0</v>
      </c>
    </row>
    <row r="39" spans="2:14" ht="15" customHeight="1" x14ac:dyDescent="0.3">
      <c r="B39" s="39" t="s">
        <v>31</v>
      </c>
      <c r="C39" s="4" t="s">
        <v>32</v>
      </c>
      <c r="D39" s="5">
        <v>150000</v>
      </c>
      <c r="E39" s="5">
        <v>90126.304853728565</v>
      </c>
      <c r="F39" s="41">
        <v>284</v>
      </c>
      <c r="G39" s="5">
        <v>43168.706899999983</v>
      </c>
      <c r="H39" s="5">
        <f t="shared" ref="H39:H40" si="31">J39+((G39-I39)/(D39/E39))</f>
        <v>25937.573588071027</v>
      </c>
      <c r="I39" s="5">
        <v>0</v>
      </c>
      <c r="J39" s="5">
        <v>0</v>
      </c>
      <c r="K39" s="40">
        <f t="shared" si="28"/>
        <v>0.28779137933333321</v>
      </c>
      <c r="L39" s="40">
        <f t="shared" si="28"/>
        <v>0.28779137933333321</v>
      </c>
      <c r="M39" s="40">
        <f t="shared" si="29"/>
        <v>0</v>
      </c>
      <c r="N39" s="40">
        <f t="shared" si="29"/>
        <v>0</v>
      </c>
    </row>
    <row r="40" spans="2:14" ht="15" customHeight="1" x14ac:dyDescent="0.3">
      <c r="B40" s="39" t="s">
        <v>142</v>
      </c>
      <c r="C40" s="4" t="s">
        <v>160</v>
      </c>
      <c r="D40" s="5">
        <v>20010.091359999999</v>
      </c>
      <c r="E40" s="5">
        <v>12022.903960415466</v>
      </c>
      <c r="F40" s="41">
        <v>0</v>
      </c>
      <c r="G40" s="5">
        <v>0</v>
      </c>
      <c r="H40" s="5">
        <f t="shared" si="31"/>
        <v>0</v>
      </c>
      <c r="I40" s="5"/>
      <c r="J40" s="5"/>
      <c r="K40" s="40"/>
      <c r="L40" s="40"/>
      <c r="M40" s="40"/>
      <c r="N40" s="40"/>
    </row>
    <row r="41" spans="2:14" s="8" customFormat="1" ht="20.100000000000001" customHeight="1" x14ac:dyDescent="0.3">
      <c r="B41" s="55" t="s">
        <v>150</v>
      </c>
      <c r="C41" s="34"/>
      <c r="D41" s="11">
        <f>+D42+D46</f>
        <v>243930.69990000001</v>
      </c>
      <c r="E41" s="11">
        <f t="shared" ref="E41:J41" si="32">+E42+E46</f>
        <v>149595.4485213249</v>
      </c>
      <c r="F41" s="11">
        <f>+F42+F46</f>
        <v>15</v>
      </c>
      <c r="G41" s="11">
        <f t="shared" si="32"/>
        <v>4343.3814599999996</v>
      </c>
      <c r="H41" s="11">
        <f t="shared" si="32"/>
        <v>2609.6861437332841</v>
      </c>
      <c r="I41" s="11">
        <f t="shared" si="32"/>
        <v>0</v>
      </c>
      <c r="J41" s="11">
        <f t="shared" si="32"/>
        <v>0</v>
      </c>
      <c r="K41" s="36">
        <f>+G41/D41</f>
        <v>1.7805800835157606E-2</v>
      </c>
      <c r="L41" s="36">
        <f>+H41/E41</f>
        <v>1.7444956845470282E-2</v>
      </c>
      <c r="M41" s="36">
        <f>+I41/D41</f>
        <v>0</v>
      </c>
      <c r="N41" s="36">
        <f>+J41/E41</f>
        <v>0</v>
      </c>
    </row>
    <row r="42" spans="2:14" s="68" customFormat="1" ht="15" customHeight="1" x14ac:dyDescent="0.3">
      <c r="B42" s="64" t="s">
        <v>100</v>
      </c>
      <c r="C42" s="69"/>
      <c r="D42" s="66">
        <f>+SUM(D43:D45)</f>
        <v>90451.155899999998</v>
      </c>
      <c r="E42" s="66">
        <f t="shared" ref="E42:J42" si="33">+SUM(E43:E45)</f>
        <v>54346.856340103521</v>
      </c>
      <c r="F42" s="66">
        <f t="shared" si="33"/>
        <v>15</v>
      </c>
      <c r="G42" s="66">
        <f t="shared" si="33"/>
        <v>4343.3814599999996</v>
      </c>
      <c r="H42" s="66">
        <f t="shared" si="33"/>
        <v>2609.6861437332841</v>
      </c>
      <c r="I42" s="66">
        <f t="shared" si="33"/>
        <v>0</v>
      </c>
      <c r="J42" s="66">
        <f t="shared" si="33"/>
        <v>0</v>
      </c>
      <c r="K42" s="67">
        <f t="shared" ref="K42" si="34">+G42/D42</f>
        <v>4.8019081865597252E-2</v>
      </c>
      <c r="L42" s="67">
        <f t="shared" ref="L42" si="35">+H42/E42</f>
        <v>4.8019081865597252E-2</v>
      </c>
      <c r="M42" s="67">
        <f>+I42/D42</f>
        <v>0</v>
      </c>
      <c r="N42" s="67">
        <f t="shared" ref="N42" si="36">+J42/E42</f>
        <v>0</v>
      </c>
    </row>
    <row r="43" spans="2:14" ht="15" customHeight="1" x14ac:dyDescent="0.3">
      <c r="B43" s="39" t="s">
        <v>33</v>
      </c>
      <c r="C43" s="4" t="s">
        <v>34</v>
      </c>
      <c r="D43" s="5">
        <v>56484.455999999998</v>
      </c>
      <c r="E43" s="5">
        <v>33938.235339686777</v>
      </c>
      <c r="F43" s="41">
        <v>0</v>
      </c>
      <c r="G43" s="5">
        <v>0</v>
      </c>
      <c r="H43" s="5">
        <f t="shared" ref="H43:H45" si="37">J43+((G43-I43)/(D43/E43))</f>
        <v>0</v>
      </c>
      <c r="I43" s="5">
        <v>0</v>
      </c>
      <c r="J43" s="5">
        <v>0</v>
      </c>
      <c r="K43" s="40">
        <f t="shared" ref="K43:L44" si="38">+G43/D43</f>
        <v>0</v>
      </c>
      <c r="L43" s="40">
        <f t="shared" si="38"/>
        <v>0</v>
      </c>
      <c r="M43" s="40">
        <f t="shared" ref="M43:N44" si="39">+I43/D43</f>
        <v>0</v>
      </c>
      <c r="N43" s="40">
        <f t="shared" si="39"/>
        <v>0</v>
      </c>
    </row>
    <row r="44" spans="2:14" ht="15" customHeight="1" x14ac:dyDescent="0.3">
      <c r="B44" s="39" t="s">
        <v>35</v>
      </c>
      <c r="C44" s="4" t="s">
        <v>161</v>
      </c>
      <c r="D44" s="5">
        <v>18999.999900000003</v>
      </c>
      <c r="E44" s="5">
        <v>11415.998554721416</v>
      </c>
      <c r="F44" s="41">
        <v>15</v>
      </c>
      <c r="G44" s="5">
        <v>4343.3814599999996</v>
      </c>
      <c r="H44" s="5">
        <f t="shared" si="37"/>
        <v>2609.6861437332841</v>
      </c>
      <c r="I44" s="5">
        <v>0</v>
      </c>
      <c r="J44" s="5">
        <v>0</v>
      </c>
      <c r="K44" s="38">
        <f t="shared" si="38"/>
        <v>0.22859902541367902</v>
      </c>
      <c r="L44" s="38">
        <f t="shared" si="38"/>
        <v>0.22859902541367902</v>
      </c>
      <c r="M44" s="38">
        <f t="shared" si="39"/>
        <v>0</v>
      </c>
      <c r="N44" s="38">
        <f t="shared" si="39"/>
        <v>0</v>
      </c>
    </row>
    <row r="45" spans="2:14" x14ac:dyDescent="0.3">
      <c r="B45" s="39" t="s">
        <v>143</v>
      </c>
      <c r="C45" s="4" t="s">
        <v>162</v>
      </c>
      <c r="D45" s="5">
        <v>14966.7</v>
      </c>
      <c r="E45" s="5">
        <v>8992.6224456953296</v>
      </c>
      <c r="F45" s="41">
        <v>0</v>
      </c>
      <c r="G45" s="5">
        <v>0</v>
      </c>
      <c r="H45" s="5">
        <f t="shared" si="37"/>
        <v>0</v>
      </c>
      <c r="I45" s="5"/>
      <c r="J45" s="5"/>
      <c r="K45" s="38"/>
      <c r="L45" s="38"/>
      <c r="M45" s="38"/>
      <c r="N45" s="38"/>
    </row>
    <row r="46" spans="2:14" s="68" customFormat="1" ht="15" customHeight="1" x14ac:dyDescent="0.3">
      <c r="B46" s="64" t="s">
        <v>101</v>
      </c>
      <c r="C46" s="65"/>
      <c r="D46" s="66">
        <f>+SUM(D47:D54)</f>
        <v>153479.54399999999</v>
      </c>
      <c r="E46" s="66">
        <f t="shared" ref="E46:J46" si="40">+SUM(E47:E54)</f>
        <v>95248.592181221393</v>
      </c>
      <c r="F46" s="66">
        <f t="shared" si="40"/>
        <v>0</v>
      </c>
      <c r="G46" s="66">
        <f t="shared" si="40"/>
        <v>0</v>
      </c>
      <c r="H46" s="66">
        <f t="shared" si="40"/>
        <v>0</v>
      </c>
      <c r="I46" s="66">
        <f t="shared" si="40"/>
        <v>0</v>
      </c>
      <c r="J46" s="66">
        <f t="shared" si="40"/>
        <v>0</v>
      </c>
      <c r="K46" s="67">
        <f>+G46/D46</f>
        <v>0</v>
      </c>
      <c r="L46" s="67">
        <f>+H46/E46</f>
        <v>0</v>
      </c>
      <c r="M46" s="67">
        <f>+I46/D46</f>
        <v>0</v>
      </c>
      <c r="N46" s="67">
        <f>+J46/E46</f>
        <v>0</v>
      </c>
    </row>
    <row r="47" spans="2:14" ht="15" customHeight="1" x14ac:dyDescent="0.3">
      <c r="B47" s="39" t="s">
        <v>36</v>
      </c>
      <c r="C47" s="4" t="s">
        <v>37</v>
      </c>
      <c r="D47" s="5">
        <v>26668</v>
      </c>
      <c r="E47" s="5">
        <v>16023.255324498992</v>
      </c>
      <c r="F47" s="41">
        <v>0</v>
      </c>
      <c r="G47" s="5">
        <v>0</v>
      </c>
      <c r="H47" s="5">
        <f t="shared" ref="H47:H52" si="41">J47+((G47-I47)/(D47/E47))</f>
        <v>0</v>
      </c>
      <c r="I47" s="5">
        <v>0</v>
      </c>
      <c r="J47" s="5">
        <v>0</v>
      </c>
      <c r="K47" s="38">
        <f t="shared" ref="K47:K70" si="42">+G47/D47</f>
        <v>0</v>
      </c>
      <c r="L47" s="38">
        <f t="shared" ref="L47:L70" si="43">+H47/E47</f>
        <v>0</v>
      </c>
      <c r="M47" s="38">
        <f t="shared" ref="M47:M70" si="44">+I47/D47</f>
        <v>0</v>
      </c>
      <c r="N47" s="38">
        <f t="shared" ref="N47:N70" si="45">+J47/E47</f>
        <v>0</v>
      </c>
    </row>
    <row r="48" spans="2:14" ht="15" customHeight="1" x14ac:dyDescent="0.3">
      <c r="B48" s="39" t="s">
        <v>38</v>
      </c>
      <c r="C48" s="4" t="s">
        <v>39</v>
      </c>
      <c r="D48" s="5">
        <v>1680</v>
      </c>
      <c r="E48" s="5">
        <v>1009.4146143617597</v>
      </c>
      <c r="F48" s="41">
        <v>0</v>
      </c>
      <c r="G48" s="5">
        <v>0</v>
      </c>
      <c r="H48" s="5">
        <f t="shared" si="41"/>
        <v>0</v>
      </c>
      <c r="I48" s="5">
        <v>0</v>
      </c>
      <c r="J48" s="5">
        <v>0</v>
      </c>
      <c r="K48" s="38">
        <f t="shared" si="42"/>
        <v>0</v>
      </c>
      <c r="L48" s="38">
        <f t="shared" si="43"/>
        <v>0</v>
      </c>
      <c r="M48" s="38">
        <f t="shared" si="44"/>
        <v>0</v>
      </c>
      <c r="N48" s="38">
        <f t="shared" si="45"/>
        <v>0</v>
      </c>
    </row>
    <row r="49" spans="2:16" ht="15" customHeight="1" x14ac:dyDescent="0.3">
      <c r="B49" s="39" t="s">
        <v>40</v>
      </c>
      <c r="C49" s="4" t="s">
        <v>41</v>
      </c>
      <c r="D49" s="5">
        <v>22880</v>
      </c>
      <c r="E49" s="5">
        <v>13529.733665984142</v>
      </c>
      <c r="F49" s="41">
        <v>0</v>
      </c>
      <c r="G49" s="5">
        <v>0</v>
      </c>
      <c r="H49" s="5">
        <f t="shared" si="41"/>
        <v>0</v>
      </c>
      <c r="I49" s="5">
        <v>0</v>
      </c>
      <c r="J49" s="5">
        <v>0</v>
      </c>
      <c r="K49" s="38">
        <f t="shared" si="42"/>
        <v>0</v>
      </c>
      <c r="L49" s="38">
        <f t="shared" si="43"/>
        <v>0</v>
      </c>
      <c r="M49" s="38">
        <f t="shared" si="44"/>
        <v>0</v>
      </c>
      <c r="N49" s="38">
        <f t="shared" si="45"/>
        <v>0</v>
      </c>
    </row>
    <row r="50" spans="2:16" ht="15" customHeight="1" x14ac:dyDescent="0.3">
      <c r="B50" s="39" t="s">
        <v>42</v>
      </c>
      <c r="C50" s="4" t="s">
        <v>88</v>
      </c>
      <c r="D50" s="5">
        <v>29760</v>
      </c>
      <c r="E50" s="5">
        <v>17881.058882979745</v>
      </c>
      <c r="F50" s="41">
        <v>0</v>
      </c>
      <c r="G50" s="5">
        <v>0</v>
      </c>
      <c r="H50" s="5">
        <f t="shared" si="41"/>
        <v>0</v>
      </c>
      <c r="I50" s="5">
        <v>0</v>
      </c>
      <c r="J50" s="5">
        <v>0</v>
      </c>
      <c r="K50" s="38">
        <f t="shared" si="42"/>
        <v>0</v>
      </c>
      <c r="L50" s="38">
        <f t="shared" si="43"/>
        <v>0</v>
      </c>
      <c r="M50" s="38">
        <f t="shared" si="44"/>
        <v>0</v>
      </c>
      <c r="N50" s="38">
        <f t="shared" si="45"/>
        <v>0</v>
      </c>
    </row>
    <row r="51" spans="2:16" ht="15" customHeight="1" x14ac:dyDescent="0.3">
      <c r="B51" s="39" t="s">
        <v>43</v>
      </c>
      <c r="C51" s="4" t="s">
        <v>44</v>
      </c>
      <c r="D51" s="5">
        <v>32080</v>
      </c>
      <c r="E51" s="5">
        <v>19275.012398050756</v>
      </c>
      <c r="F51" s="41">
        <v>0</v>
      </c>
      <c r="G51" s="5">
        <v>0</v>
      </c>
      <c r="H51" s="5">
        <f t="shared" si="41"/>
        <v>0</v>
      </c>
      <c r="I51" s="5">
        <v>0</v>
      </c>
      <c r="J51" s="5">
        <v>0</v>
      </c>
      <c r="K51" s="40">
        <f t="shared" si="42"/>
        <v>0</v>
      </c>
      <c r="L51" s="40">
        <f t="shared" si="43"/>
        <v>0</v>
      </c>
      <c r="M51" s="40">
        <f t="shared" si="44"/>
        <v>0</v>
      </c>
      <c r="N51" s="40">
        <f t="shared" si="45"/>
        <v>0</v>
      </c>
    </row>
    <row r="52" spans="2:16" ht="15" customHeight="1" x14ac:dyDescent="0.3">
      <c r="B52" s="39" t="s">
        <v>45</v>
      </c>
      <c r="C52" s="4" t="s">
        <v>46</v>
      </c>
      <c r="D52" s="5">
        <v>7644</v>
      </c>
      <c r="E52" s="5">
        <v>4592.8364953460068</v>
      </c>
      <c r="F52" s="41">
        <v>0</v>
      </c>
      <c r="G52" s="5">
        <v>0</v>
      </c>
      <c r="H52" s="5">
        <f t="shared" si="41"/>
        <v>0</v>
      </c>
      <c r="I52" s="5">
        <v>0</v>
      </c>
      <c r="J52" s="5">
        <v>0</v>
      </c>
      <c r="K52" s="40">
        <f t="shared" si="42"/>
        <v>0</v>
      </c>
      <c r="L52" s="40">
        <f t="shared" si="43"/>
        <v>0</v>
      </c>
      <c r="M52" s="40">
        <f t="shared" si="44"/>
        <v>0</v>
      </c>
      <c r="N52" s="40">
        <f t="shared" si="45"/>
        <v>0</v>
      </c>
    </row>
    <row r="53" spans="2:16" ht="15" customHeight="1" x14ac:dyDescent="0.3">
      <c r="B53" s="39" t="s">
        <v>47</v>
      </c>
      <c r="C53" s="4" t="s">
        <v>48</v>
      </c>
      <c r="D53" s="5">
        <v>1400</v>
      </c>
      <c r="E53" s="5">
        <v>979.99999999999989</v>
      </c>
      <c r="F53" s="41">
        <v>0</v>
      </c>
      <c r="G53" s="5">
        <v>0</v>
      </c>
      <c r="H53" s="5">
        <f>J53+((G53-I53)*0.7)</f>
        <v>0</v>
      </c>
      <c r="I53" s="5">
        <v>0</v>
      </c>
      <c r="J53" s="5">
        <v>0</v>
      </c>
      <c r="K53" s="40">
        <f t="shared" si="42"/>
        <v>0</v>
      </c>
      <c r="L53" s="40">
        <f t="shared" si="43"/>
        <v>0</v>
      </c>
      <c r="M53" s="40">
        <f t="shared" si="44"/>
        <v>0</v>
      </c>
      <c r="N53" s="40">
        <f t="shared" si="45"/>
        <v>0</v>
      </c>
    </row>
    <row r="54" spans="2:16" ht="15" customHeight="1" x14ac:dyDescent="0.3">
      <c r="B54" s="39" t="s">
        <v>49</v>
      </c>
      <c r="C54" s="4" t="s">
        <v>50</v>
      </c>
      <c r="D54" s="5">
        <v>31367.544000000002</v>
      </c>
      <c r="E54" s="5">
        <v>21957.280799999997</v>
      </c>
      <c r="F54" s="41">
        <v>0</v>
      </c>
      <c r="G54" s="5">
        <v>0</v>
      </c>
      <c r="H54" s="5">
        <f>J54+((G54-I54)*0.7)</f>
        <v>0</v>
      </c>
      <c r="I54" s="5">
        <v>0</v>
      </c>
      <c r="J54" s="5">
        <v>0</v>
      </c>
      <c r="K54" s="40">
        <f t="shared" si="42"/>
        <v>0</v>
      </c>
      <c r="L54" s="40">
        <f t="shared" si="43"/>
        <v>0</v>
      </c>
      <c r="M54" s="40">
        <f t="shared" si="44"/>
        <v>0</v>
      </c>
      <c r="N54" s="40">
        <f t="shared" si="45"/>
        <v>0</v>
      </c>
    </row>
    <row r="55" spans="2:16" s="8" customFormat="1" ht="20.100000000000001" customHeight="1" x14ac:dyDescent="0.3">
      <c r="B55" s="55" t="s">
        <v>93</v>
      </c>
      <c r="C55" s="34"/>
      <c r="D55" s="11">
        <f>+D56+D62</f>
        <v>83514.455000000016</v>
      </c>
      <c r="E55" s="11">
        <f t="shared" ref="E55:J55" si="46">+E56+E62</f>
        <v>53059.879160721968</v>
      </c>
      <c r="F55" s="11">
        <f>+F56+F62</f>
        <v>6983</v>
      </c>
      <c r="G55" s="11">
        <f t="shared" si="46"/>
        <v>46126.002080000006</v>
      </c>
      <c r="H55" s="11">
        <f t="shared" si="46"/>
        <v>32977.642337364108</v>
      </c>
      <c r="I55" s="11">
        <f t="shared" si="46"/>
        <v>33868.158690000004</v>
      </c>
      <c r="J55" s="11">
        <f t="shared" si="46"/>
        <v>25075.283480000013</v>
      </c>
      <c r="K55" s="36">
        <f>+G55/D55</f>
        <v>0.55231159779465722</v>
      </c>
      <c r="L55" s="36">
        <f>+H55/E55</f>
        <v>0.62151747910078337</v>
      </c>
      <c r="M55" s="36">
        <f>+I55/D55</f>
        <v>0.40553648694707994</v>
      </c>
      <c r="N55" s="36">
        <f>+J55/E55</f>
        <v>0.4725846322424761</v>
      </c>
    </row>
    <row r="56" spans="2:16" s="68" customFormat="1" ht="15" customHeight="1" x14ac:dyDescent="0.3">
      <c r="B56" s="64" t="s">
        <v>102</v>
      </c>
      <c r="C56" s="69"/>
      <c r="D56" s="66">
        <f>+SUM(D57:D61)</f>
        <v>80664.455000000016</v>
      </c>
      <c r="E56" s="66">
        <f t="shared" ref="E56:J56" si="47">+SUM(E57:E61)</f>
        <v>51374.575797607686</v>
      </c>
      <c r="F56" s="66">
        <f t="shared" si="47"/>
        <v>6982</v>
      </c>
      <c r="G56" s="66">
        <f t="shared" si="47"/>
        <v>45826.002080000006</v>
      </c>
      <c r="H56" s="66">
        <f t="shared" si="47"/>
        <v>32800.241983352076</v>
      </c>
      <c r="I56" s="66">
        <f t="shared" si="47"/>
        <v>33868.158690000004</v>
      </c>
      <c r="J56" s="66">
        <f t="shared" si="47"/>
        <v>25075.283480000013</v>
      </c>
      <c r="K56" s="67">
        <f t="shared" ref="K56" si="48">+G56/D56</f>
        <v>0.56810651085413022</v>
      </c>
      <c r="L56" s="67">
        <f t="shared" ref="L56" si="49">+H56/E56</f>
        <v>0.63845280421526041</v>
      </c>
      <c r="M56" s="67">
        <f t="shared" ref="M56" si="50">+I56/D56</f>
        <v>0.41986471848102114</v>
      </c>
      <c r="N56" s="67">
        <f t="shared" ref="N56" si="51">+J56/E56</f>
        <v>0.48808740686804214</v>
      </c>
      <c r="P56" s="77"/>
    </row>
    <row r="57" spans="2:16" ht="15" customHeight="1" x14ac:dyDescent="0.3">
      <c r="B57" s="39" t="s">
        <v>51</v>
      </c>
      <c r="C57" s="4" t="s">
        <v>52</v>
      </c>
      <c r="D57" s="5">
        <v>63430.930000000029</v>
      </c>
      <c r="E57" s="5">
        <v>41065.385560577895</v>
      </c>
      <c r="F57" s="5">
        <v>6981</v>
      </c>
      <c r="G57" s="5">
        <v>45504.002080000006</v>
      </c>
      <c r="H57" s="5">
        <f>J57+((G57-I57)/(D57/E57))</f>
        <v>32608.36545015009</v>
      </c>
      <c r="I57" s="5">
        <v>33868.158690000004</v>
      </c>
      <c r="J57" s="5">
        <v>25075.283480000013</v>
      </c>
      <c r="K57" s="40">
        <f t="shared" si="42"/>
        <v>0.7173787626951077</v>
      </c>
      <c r="L57" s="40">
        <f t="shared" si="43"/>
        <v>0.79405964427261078</v>
      </c>
      <c r="M57" s="40">
        <f>+I57/D57</f>
        <v>0.53393760252293299</v>
      </c>
      <c r="N57" s="40">
        <f t="shared" si="45"/>
        <v>0.61061848410043618</v>
      </c>
    </row>
    <row r="58" spans="2:16" ht="15" customHeight="1" x14ac:dyDescent="0.3">
      <c r="B58" s="39" t="s">
        <v>53</v>
      </c>
      <c r="C58" s="4" t="s">
        <v>54</v>
      </c>
      <c r="D58" s="5">
        <v>6300</v>
      </c>
      <c r="E58" s="5">
        <v>3785.3048038566003</v>
      </c>
      <c r="F58" s="41">
        <v>0</v>
      </c>
      <c r="G58" s="5">
        <v>0</v>
      </c>
      <c r="H58" s="5">
        <f t="shared" ref="H58" si="52">J58+((G58-I58)/(D58/E58))</f>
        <v>0</v>
      </c>
      <c r="I58" s="5">
        <v>0</v>
      </c>
      <c r="J58" s="5">
        <v>0</v>
      </c>
      <c r="K58" s="40">
        <f t="shared" si="42"/>
        <v>0</v>
      </c>
      <c r="L58" s="40">
        <f t="shared" si="43"/>
        <v>0</v>
      </c>
      <c r="M58" s="40">
        <f t="shared" si="44"/>
        <v>0</v>
      </c>
      <c r="N58" s="40">
        <f t="shared" si="45"/>
        <v>0</v>
      </c>
    </row>
    <row r="59" spans="2:16" ht="15" customHeight="1" x14ac:dyDescent="0.3">
      <c r="B59" s="39" t="s">
        <v>55</v>
      </c>
      <c r="C59" s="4" t="s">
        <v>90</v>
      </c>
      <c r="D59" s="5">
        <v>6000</v>
      </c>
      <c r="E59" s="5">
        <v>3575.3391279873176</v>
      </c>
      <c r="F59" s="41">
        <v>1</v>
      </c>
      <c r="G59" s="5">
        <v>322</v>
      </c>
      <c r="H59" s="5">
        <f t="shared" ref="H59:H61" si="53">J59+((G59-I59)/(D59/E59))</f>
        <v>191.87653320198606</v>
      </c>
      <c r="I59" s="5">
        <v>0</v>
      </c>
      <c r="J59" s="5">
        <v>0</v>
      </c>
      <c r="K59" s="40">
        <f t="shared" si="42"/>
        <v>5.3666666666666668E-2</v>
      </c>
      <c r="L59" s="40">
        <f t="shared" si="43"/>
        <v>5.3666666666666675E-2</v>
      </c>
      <c r="M59" s="40">
        <f t="shared" si="44"/>
        <v>0</v>
      </c>
      <c r="N59" s="40">
        <f t="shared" si="45"/>
        <v>0</v>
      </c>
    </row>
    <row r="60" spans="2:16" ht="15" customHeight="1" x14ac:dyDescent="0.3">
      <c r="B60" s="39" t="s">
        <v>56</v>
      </c>
      <c r="C60" s="4" t="s">
        <v>89</v>
      </c>
      <c r="D60" s="5">
        <v>3523.5250000000001</v>
      </c>
      <c r="E60" s="5">
        <v>2101.359039560823</v>
      </c>
      <c r="F60" s="41">
        <v>0</v>
      </c>
      <c r="G60" s="5">
        <v>0</v>
      </c>
      <c r="H60" s="5">
        <f t="shared" si="53"/>
        <v>0</v>
      </c>
      <c r="I60" s="5">
        <v>0</v>
      </c>
      <c r="J60" s="5">
        <v>0</v>
      </c>
      <c r="K60" s="40">
        <f t="shared" si="42"/>
        <v>0</v>
      </c>
      <c r="L60" s="40">
        <f t="shared" si="43"/>
        <v>0</v>
      </c>
      <c r="M60" s="40">
        <f t="shared" si="44"/>
        <v>0</v>
      </c>
      <c r="N60" s="40">
        <f t="shared" si="45"/>
        <v>0</v>
      </c>
    </row>
    <row r="61" spans="2:16" s="59" customFormat="1" ht="15" customHeight="1" x14ac:dyDescent="0.3">
      <c r="B61" s="56" t="s">
        <v>57</v>
      </c>
      <c r="C61" s="57" t="s">
        <v>58</v>
      </c>
      <c r="D61" s="5">
        <v>1410</v>
      </c>
      <c r="E61" s="5">
        <v>847.18726562504855</v>
      </c>
      <c r="F61" s="41">
        <v>0</v>
      </c>
      <c r="G61" s="5">
        <v>0</v>
      </c>
      <c r="H61" s="15">
        <f t="shared" si="53"/>
        <v>0</v>
      </c>
      <c r="I61" s="15">
        <v>0</v>
      </c>
      <c r="J61" s="15">
        <v>0</v>
      </c>
      <c r="K61" s="58">
        <f t="shared" si="42"/>
        <v>0</v>
      </c>
      <c r="L61" s="58">
        <f t="shared" si="43"/>
        <v>0</v>
      </c>
      <c r="M61" s="58">
        <f t="shared" si="44"/>
        <v>0</v>
      </c>
      <c r="N61" s="58">
        <f t="shared" si="45"/>
        <v>0</v>
      </c>
    </row>
    <row r="62" spans="2:16" s="68" customFormat="1" ht="15" customHeight="1" x14ac:dyDescent="0.3">
      <c r="B62" s="64" t="s">
        <v>103</v>
      </c>
      <c r="C62" s="65"/>
      <c r="D62" s="66">
        <f>+SUM(D63:D64)</f>
        <v>2850</v>
      </c>
      <c r="E62" s="66">
        <f t="shared" ref="E62:J62" si="54">+SUM(E63:E64)</f>
        <v>1685.3033631142835</v>
      </c>
      <c r="F62" s="66">
        <f t="shared" si="54"/>
        <v>1</v>
      </c>
      <c r="G62" s="66">
        <f t="shared" si="54"/>
        <v>300</v>
      </c>
      <c r="H62" s="66">
        <f t="shared" si="54"/>
        <v>177.40035401202982</v>
      </c>
      <c r="I62" s="66">
        <f t="shared" si="54"/>
        <v>0</v>
      </c>
      <c r="J62" s="66">
        <f t="shared" si="54"/>
        <v>0</v>
      </c>
      <c r="K62" s="67">
        <f>+G62/D62</f>
        <v>0.10526315789473684</v>
      </c>
      <c r="L62" s="67">
        <f t="shared" ref="L62:L64" si="55">+H62/E62</f>
        <v>0.10526315789473684</v>
      </c>
      <c r="M62" s="67">
        <f t="shared" ref="M62:M64" si="56">+I62/D62</f>
        <v>0</v>
      </c>
      <c r="N62" s="67">
        <f t="shared" ref="N62:N64" si="57">+J62/E62</f>
        <v>0</v>
      </c>
    </row>
    <row r="63" spans="2:16" ht="15" customHeight="1" x14ac:dyDescent="0.3">
      <c r="B63" s="39" t="s">
        <v>59</v>
      </c>
      <c r="C63" s="4" t="s">
        <v>60</v>
      </c>
      <c r="D63" s="5">
        <v>2000</v>
      </c>
      <c r="E63" s="5">
        <v>1182.6690267468655</v>
      </c>
      <c r="F63" s="41">
        <v>1</v>
      </c>
      <c r="G63" s="5">
        <v>300</v>
      </c>
      <c r="H63" s="5">
        <f t="shared" ref="H63:H64" si="58">J63+((G63-I63)/(D63/E63))</f>
        <v>177.40035401202982</v>
      </c>
      <c r="I63" s="5">
        <v>0</v>
      </c>
      <c r="J63" s="5">
        <v>0</v>
      </c>
      <c r="K63" s="40">
        <f t="shared" ref="K63:K64" si="59">+G63/D63</f>
        <v>0.15</v>
      </c>
      <c r="L63" s="40">
        <f t="shared" si="55"/>
        <v>0.15</v>
      </c>
      <c r="M63" s="40">
        <f t="shared" si="56"/>
        <v>0</v>
      </c>
      <c r="N63" s="40">
        <f t="shared" si="57"/>
        <v>0</v>
      </c>
    </row>
    <row r="64" spans="2:16" ht="15" customHeight="1" x14ac:dyDescent="0.3">
      <c r="B64" s="39" t="s">
        <v>61</v>
      </c>
      <c r="C64" s="4" t="s">
        <v>62</v>
      </c>
      <c r="D64" s="5">
        <v>850</v>
      </c>
      <c r="E64" s="5">
        <v>502.63433636741786</v>
      </c>
      <c r="F64" s="41">
        <v>0</v>
      </c>
      <c r="G64" s="5">
        <v>0</v>
      </c>
      <c r="H64" s="5">
        <f t="shared" si="58"/>
        <v>0</v>
      </c>
      <c r="I64" s="5">
        <v>0</v>
      </c>
      <c r="J64" s="5">
        <v>0</v>
      </c>
      <c r="K64" s="40">
        <f t="shared" si="59"/>
        <v>0</v>
      </c>
      <c r="L64" s="40">
        <f t="shared" si="55"/>
        <v>0</v>
      </c>
      <c r="M64" s="40">
        <f t="shared" si="56"/>
        <v>0</v>
      </c>
      <c r="N64" s="40">
        <f t="shared" si="57"/>
        <v>0</v>
      </c>
    </row>
    <row r="65" spans="2:15" s="8" customFormat="1" ht="20.100000000000001" customHeight="1" x14ac:dyDescent="0.3">
      <c r="B65" s="55" t="s">
        <v>94</v>
      </c>
      <c r="C65" s="34"/>
      <c r="D65" s="11">
        <f>SUM(D66:D70)</f>
        <v>37793.925000000003</v>
      </c>
      <c r="E65" s="11">
        <f>SUM(E66:E70)</f>
        <v>23696.78810189712</v>
      </c>
      <c r="F65" s="11">
        <f>SUM(F66:F70)</f>
        <v>15</v>
      </c>
      <c r="G65" s="11">
        <f t="shared" ref="G65:J65" si="60">SUM(G66:G70)</f>
        <v>11818.21724</v>
      </c>
      <c r="H65" s="11">
        <f t="shared" si="60"/>
        <v>7062.3332037606042</v>
      </c>
      <c r="I65" s="11">
        <f t="shared" si="60"/>
        <v>0</v>
      </c>
      <c r="J65" s="11">
        <f t="shared" si="60"/>
        <v>0</v>
      </c>
      <c r="K65" s="36">
        <f>+G65/D65</f>
        <v>0.31270150533452135</v>
      </c>
      <c r="L65" s="36">
        <f>+H65/E65</f>
        <v>0.29802913261460978</v>
      </c>
      <c r="M65" s="36">
        <f>+I65/D65</f>
        <v>0</v>
      </c>
      <c r="N65" s="36">
        <f>+J65/E65</f>
        <v>0</v>
      </c>
    </row>
    <row r="66" spans="2:15" s="13" customFormat="1" ht="15" customHeight="1" x14ac:dyDescent="0.3">
      <c r="B66" s="61" t="s">
        <v>63</v>
      </c>
      <c r="C66" s="62" t="s">
        <v>64</v>
      </c>
      <c r="D66" s="5">
        <v>11000</v>
      </c>
      <c r="E66" s="5">
        <v>7699.9999999999991</v>
      </c>
      <c r="F66" s="41">
        <v>0</v>
      </c>
      <c r="G66" s="5">
        <v>0</v>
      </c>
      <c r="H66" s="5">
        <f>J66+((G66-I66)*0.7)</f>
        <v>0</v>
      </c>
      <c r="I66" s="5">
        <v>0</v>
      </c>
      <c r="J66" s="5">
        <v>0</v>
      </c>
      <c r="K66" s="38">
        <f t="shared" si="42"/>
        <v>0</v>
      </c>
      <c r="L66" s="38">
        <f t="shared" si="43"/>
        <v>0</v>
      </c>
      <c r="M66" s="38">
        <f t="shared" si="44"/>
        <v>0</v>
      </c>
      <c r="N66" s="38">
        <f t="shared" si="45"/>
        <v>0</v>
      </c>
      <c r="O66" s="59"/>
    </row>
    <row r="67" spans="2:15" s="13" customFormat="1" ht="15" customHeight="1" x14ac:dyDescent="0.3">
      <c r="B67" s="61" t="s">
        <v>65</v>
      </c>
      <c r="C67" s="62" t="s">
        <v>66</v>
      </c>
      <c r="D67" s="5">
        <v>5882.7060000000001</v>
      </c>
      <c r="E67" s="5">
        <v>3484.3210925734716</v>
      </c>
      <c r="F67" s="41">
        <v>0</v>
      </c>
      <c r="G67" s="5">
        <v>0</v>
      </c>
      <c r="H67" s="5">
        <f>J67+((G67-I67)/(D67/E67))</f>
        <v>0</v>
      </c>
      <c r="I67" s="5">
        <v>0</v>
      </c>
      <c r="J67" s="5">
        <v>0</v>
      </c>
      <c r="K67" s="38">
        <f t="shared" si="42"/>
        <v>0</v>
      </c>
      <c r="L67" s="38">
        <f t="shared" si="43"/>
        <v>0</v>
      </c>
      <c r="M67" s="38">
        <f t="shared" si="44"/>
        <v>0</v>
      </c>
      <c r="N67" s="38">
        <f t="shared" si="45"/>
        <v>0</v>
      </c>
      <c r="O67" s="59"/>
    </row>
    <row r="68" spans="2:15" s="13" customFormat="1" ht="15" customHeight="1" x14ac:dyDescent="0.3">
      <c r="B68" s="61" t="s">
        <v>67</v>
      </c>
      <c r="C68" s="62" t="s">
        <v>68</v>
      </c>
      <c r="D68" s="5">
        <v>8523.9210000000003</v>
      </c>
      <c r="E68" s="5">
        <v>5078.1816904554653</v>
      </c>
      <c r="F68" s="41">
        <v>8</v>
      </c>
      <c r="G68" s="5">
        <v>7580.0859</v>
      </c>
      <c r="H68" s="5">
        <f>J68+((G68-I68)/(D68/E68))</f>
        <v>4515.8857560340639</v>
      </c>
      <c r="I68" s="5">
        <v>0</v>
      </c>
      <c r="J68" s="5">
        <v>0</v>
      </c>
      <c r="K68" s="38">
        <f t="shared" si="42"/>
        <v>0.88927219057989859</v>
      </c>
      <c r="L68" s="38">
        <f>+H68/E68</f>
        <v>0.88927219057989859</v>
      </c>
      <c r="M68" s="38">
        <f t="shared" si="44"/>
        <v>0</v>
      </c>
      <c r="N68" s="38">
        <f t="shared" si="45"/>
        <v>0</v>
      </c>
      <c r="O68" s="59"/>
    </row>
    <row r="69" spans="2:15" s="13" customFormat="1" ht="15" customHeight="1" x14ac:dyDescent="0.3">
      <c r="B69" s="61" t="s">
        <v>69</v>
      </c>
      <c r="C69" s="63" t="s">
        <v>163</v>
      </c>
      <c r="D69" s="5">
        <v>300.13799999999998</v>
      </c>
      <c r="E69" s="5">
        <v>171.81153902955958</v>
      </c>
      <c r="F69" s="41">
        <v>0</v>
      </c>
      <c r="G69" s="5">
        <v>0</v>
      </c>
      <c r="H69" s="5">
        <f t="shared" ref="H69:H70" si="61">J69+((G69-I69)/(D69/E69))</f>
        <v>0</v>
      </c>
      <c r="I69" s="5">
        <v>0</v>
      </c>
      <c r="J69" s="5">
        <v>0</v>
      </c>
      <c r="K69" s="38">
        <f t="shared" si="42"/>
        <v>0</v>
      </c>
      <c r="L69" s="38">
        <f t="shared" si="43"/>
        <v>0</v>
      </c>
      <c r="M69" s="38">
        <f t="shared" si="44"/>
        <v>0</v>
      </c>
      <c r="N69" s="38">
        <f t="shared" si="45"/>
        <v>0</v>
      </c>
      <c r="O69" s="59"/>
    </row>
    <row r="70" spans="2:15" s="13" customFormat="1" ht="15" customHeight="1" x14ac:dyDescent="0.3">
      <c r="B70" s="61" t="s">
        <v>70</v>
      </c>
      <c r="C70" s="62" t="s">
        <v>71</v>
      </c>
      <c r="D70" s="5">
        <v>12087.16</v>
      </c>
      <c r="E70" s="5">
        <v>7262.4737798386232</v>
      </c>
      <c r="F70" s="41">
        <v>7</v>
      </c>
      <c r="G70" s="5">
        <v>4238.1313399999999</v>
      </c>
      <c r="H70" s="5">
        <f t="shared" si="61"/>
        <v>2546.4474477265403</v>
      </c>
      <c r="I70" s="5">
        <v>0</v>
      </c>
      <c r="J70" s="5">
        <v>0</v>
      </c>
      <c r="K70" s="38">
        <f t="shared" si="42"/>
        <v>0.35063086283295664</v>
      </c>
      <c r="L70" s="38">
        <f t="shared" si="43"/>
        <v>0.35063086283295664</v>
      </c>
      <c r="M70" s="38">
        <f t="shared" si="44"/>
        <v>0</v>
      </c>
      <c r="N70" s="38">
        <f t="shared" si="45"/>
        <v>0</v>
      </c>
      <c r="O70" s="59"/>
    </row>
    <row r="71" spans="2:15" ht="5.0999999999999996" customHeight="1" x14ac:dyDescent="0.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15" s="8" customFormat="1" ht="25.35" customHeight="1" x14ac:dyDescent="0.3">
      <c r="B72" s="16" t="s">
        <v>151</v>
      </c>
      <c r="C72" s="12"/>
      <c r="D72" s="7">
        <f t="shared" ref="D72:J72" si="62">D74+D84+D90</f>
        <v>383024.03126000002</v>
      </c>
      <c r="E72" s="7">
        <f t="shared" si="62"/>
        <v>247683.67238834163</v>
      </c>
      <c r="F72" s="7">
        <f>F74+F84+F90</f>
        <v>8327</v>
      </c>
      <c r="G72" s="7">
        <f t="shared" si="62"/>
        <v>200870.46310000005</v>
      </c>
      <c r="H72" s="7">
        <f t="shared" si="62"/>
        <v>133733.26514196175</v>
      </c>
      <c r="I72" s="7">
        <f t="shared" si="62"/>
        <v>62947.206620000012</v>
      </c>
      <c r="J72" s="7">
        <f t="shared" si="62"/>
        <v>43511.642950000016</v>
      </c>
      <c r="K72" s="30">
        <f>+G72/D72</f>
        <v>0.52443305564722509</v>
      </c>
      <c r="L72" s="30">
        <f>+H72/E72</f>
        <v>0.53993573275303441</v>
      </c>
      <c r="M72" s="30">
        <f>+I72/D72</f>
        <v>0.16434270824451458</v>
      </c>
      <c r="N72" s="30">
        <f>+J72/E72</f>
        <v>0.17567424824749203</v>
      </c>
    </row>
    <row r="73" spans="2:15" ht="5.0999999999999996" customHeight="1" x14ac:dyDescent="0.3">
      <c r="B73" s="43"/>
      <c r="C73" s="44"/>
      <c r="D73" s="45"/>
      <c r="E73" s="45"/>
      <c r="F73" s="45"/>
      <c r="G73" s="45"/>
      <c r="H73" s="45"/>
      <c r="I73" s="45"/>
      <c r="J73" s="45"/>
      <c r="K73" s="46"/>
      <c r="L73" s="46"/>
      <c r="M73" s="46"/>
      <c r="N73" s="46"/>
    </row>
    <row r="74" spans="2:15" s="8" customFormat="1" ht="20.100000000000001" customHeight="1" x14ac:dyDescent="0.3">
      <c r="B74" s="55" t="s">
        <v>146</v>
      </c>
      <c r="C74" s="34"/>
      <c r="D74" s="11">
        <f>+D83+D75</f>
        <v>149999.85</v>
      </c>
      <c r="E74" s="11">
        <f t="shared" ref="E74" si="63">+E83+E75</f>
        <v>104999.895</v>
      </c>
      <c r="F74" s="11">
        <f>+F83+F75</f>
        <v>52</v>
      </c>
      <c r="G74" s="11">
        <f t="shared" ref="G74:J74" si="64">+G83+G75</f>
        <v>37496.87818</v>
      </c>
      <c r="H74" s="11">
        <f t="shared" si="64"/>
        <v>26263.637180999998</v>
      </c>
      <c r="I74" s="11">
        <f t="shared" si="64"/>
        <v>5558.67425</v>
      </c>
      <c r="J74" s="11">
        <f t="shared" si="64"/>
        <v>3906.8944300000003</v>
      </c>
      <c r="K74" s="36">
        <f>+IFERROR(G74/D74,"")</f>
        <v>0.24997943784610449</v>
      </c>
      <c r="L74" s="36">
        <f>+IFERROR(H74/E74,"")</f>
        <v>0.25013012804441376</v>
      </c>
      <c r="M74" s="36">
        <f>+IFERROR(I74/D74,"")</f>
        <v>3.7057865391198722E-2</v>
      </c>
      <c r="N74" s="36">
        <f>+IFERROR(J74/E74,"")</f>
        <v>3.7208555589507974E-2</v>
      </c>
    </row>
    <row r="75" spans="2:15" s="68" customFormat="1" ht="20.100000000000001" customHeight="1" x14ac:dyDescent="0.3">
      <c r="B75" s="64" t="s">
        <v>135</v>
      </c>
      <c r="C75" s="70" t="s">
        <v>164</v>
      </c>
      <c r="D75" s="66">
        <f>+D76+D82</f>
        <v>112499.84993999999</v>
      </c>
      <c r="E75" s="66">
        <f t="shared" ref="E75:J75" si="65">+E76+E82</f>
        <v>78749.89495799999</v>
      </c>
      <c r="F75" s="66">
        <f t="shared" si="65"/>
        <v>0</v>
      </c>
      <c r="G75" s="66">
        <f t="shared" si="65"/>
        <v>0</v>
      </c>
      <c r="H75" s="66">
        <f t="shared" si="65"/>
        <v>0</v>
      </c>
      <c r="I75" s="66">
        <f t="shared" si="65"/>
        <v>0</v>
      </c>
      <c r="J75" s="66">
        <f t="shared" si="65"/>
        <v>0</v>
      </c>
      <c r="K75" s="67">
        <f>+IFERROR(G75/D75,"")</f>
        <v>0</v>
      </c>
      <c r="L75" s="67">
        <f>+IFERROR(H75/E75,"")</f>
        <v>0</v>
      </c>
      <c r="M75" s="67">
        <f>+IFERROR(I75/D75,"")</f>
        <v>0</v>
      </c>
      <c r="N75" s="67">
        <f>+IFERROR(J75/E75,"")</f>
        <v>0</v>
      </c>
    </row>
    <row r="76" spans="2:15" ht="15" customHeight="1" x14ac:dyDescent="0.3">
      <c r="B76" s="39" t="s">
        <v>122</v>
      </c>
      <c r="C76" s="47" t="s">
        <v>123</v>
      </c>
      <c r="D76" s="5">
        <f>+SUM(D77:D81)</f>
        <v>105412.48117999999</v>
      </c>
      <c r="E76" s="5">
        <f t="shared" ref="E76:J76" si="66">+SUM(E77:E81)</f>
        <v>73788.736825999993</v>
      </c>
      <c r="F76" s="5">
        <f t="shared" si="66"/>
        <v>0</v>
      </c>
      <c r="G76" s="5">
        <f t="shared" si="66"/>
        <v>0</v>
      </c>
      <c r="H76" s="5">
        <f>+SUM(H77:H81)</f>
        <v>0</v>
      </c>
      <c r="I76" s="5">
        <f t="shared" si="66"/>
        <v>0</v>
      </c>
      <c r="J76" s="5">
        <f t="shared" si="66"/>
        <v>0</v>
      </c>
      <c r="K76" s="40"/>
      <c r="L76" s="40"/>
      <c r="M76" s="40"/>
      <c r="N76" s="40"/>
    </row>
    <row r="77" spans="2:15" ht="15" customHeight="1" x14ac:dyDescent="0.3">
      <c r="B77" s="18" t="s">
        <v>124</v>
      </c>
      <c r="C77" s="48" t="s">
        <v>125</v>
      </c>
      <c r="D77" s="5">
        <v>26159.613000000005</v>
      </c>
      <c r="E77" s="5">
        <v>18311.7291</v>
      </c>
      <c r="F77" s="41">
        <v>0</v>
      </c>
      <c r="G77" s="5">
        <v>0</v>
      </c>
      <c r="H77" s="5">
        <f>J77+((G77-I77)*0.7)</f>
        <v>0</v>
      </c>
      <c r="I77" s="5">
        <v>0</v>
      </c>
      <c r="J77" s="5">
        <v>0</v>
      </c>
      <c r="K77" s="40">
        <f t="shared" ref="K77:L82" si="67">+IFERROR(G77/D77,"")</f>
        <v>0</v>
      </c>
      <c r="L77" s="40">
        <f t="shared" si="67"/>
        <v>0</v>
      </c>
      <c r="M77" s="40">
        <f t="shared" ref="M77:N82" si="68">+IFERROR(I77/D77,"")</f>
        <v>0</v>
      </c>
      <c r="N77" s="40">
        <f t="shared" si="68"/>
        <v>0</v>
      </c>
    </row>
    <row r="78" spans="2:15" ht="15" customHeight="1" x14ac:dyDescent="0.3">
      <c r="B78" s="18" t="s">
        <v>126</v>
      </c>
      <c r="C78" s="48" t="s">
        <v>127</v>
      </c>
      <c r="D78" s="5">
        <v>19806.7932</v>
      </c>
      <c r="E78" s="5">
        <v>13864.755239999999</v>
      </c>
      <c r="F78" s="41">
        <v>0</v>
      </c>
      <c r="G78" s="5">
        <v>0</v>
      </c>
      <c r="H78" s="5">
        <f t="shared" ref="H78:H81" si="69">J78+((G78-I78)*0.7)</f>
        <v>0</v>
      </c>
      <c r="I78" s="5">
        <v>0</v>
      </c>
      <c r="J78" s="5">
        <v>0</v>
      </c>
      <c r="K78" s="40">
        <f t="shared" si="67"/>
        <v>0</v>
      </c>
      <c r="L78" s="40">
        <f t="shared" si="67"/>
        <v>0</v>
      </c>
      <c r="M78" s="40">
        <f t="shared" si="68"/>
        <v>0</v>
      </c>
      <c r="N78" s="40">
        <f t="shared" si="68"/>
        <v>0</v>
      </c>
    </row>
    <row r="79" spans="2:15" ht="15" customHeight="1" x14ac:dyDescent="0.3">
      <c r="B79" s="18" t="s">
        <v>128</v>
      </c>
      <c r="C79" s="48" t="s">
        <v>129</v>
      </c>
      <c r="D79" s="5">
        <v>30042.452849999998</v>
      </c>
      <c r="E79" s="5">
        <v>21029.716994999999</v>
      </c>
      <c r="F79" s="41">
        <v>0</v>
      </c>
      <c r="G79" s="5">
        <v>0</v>
      </c>
      <c r="H79" s="5">
        <f t="shared" si="69"/>
        <v>0</v>
      </c>
      <c r="I79" s="5">
        <v>0</v>
      </c>
      <c r="J79" s="5">
        <v>0</v>
      </c>
      <c r="K79" s="40">
        <f t="shared" si="67"/>
        <v>0</v>
      </c>
      <c r="L79" s="40">
        <f t="shared" si="67"/>
        <v>0</v>
      </c>
      <c r="M79" s="40">
        <f t="shared" si="68"/>
        <v>0</v>
      </c>
      <c r="N79" s="40">
        <f t="shared" si="68"/>
        <v>0</v>
      </c>
    </row>
    <row r="80" spans="2:15" ht="15" customHeight="1" x14ac:dyDescent="0.3">
      <c r="B80" s="18" t="s">
        <v>130</v>
      </c>
      <c r="C80" s="48" t="s">
        <v>131</v>
      </c>
      <c r="D80" s="5">
        <v>9581.9419899999957</v>
      </c>
      <c r="E80" s="5">
        <v>6707.359392999997</v>
      </c>
      <c r="F80" s="41">
        <v>0</v>
      </c>
      <c r="G80" s="5">
        <v>0</v>
      </c>
      <c r="H80" s="5">
        <f t="shared" si="69"/>
        <v>0</v>
      </c>
      <c r="I80" s="5">
        <v>0</v>
      </c>
      <c r="J80" s="5">
        <v>0</v>
      </c>
      <c r="K80" s="40">
        <f t="shared" si="67"/>
        <v>0</v>
      </c>
      <c r="L80" s="40">
        <f t="shared" si="67"/>
        <v>0</v>
      </c>
      <c r="M80" s="40">
        <f t="shared" si="68"/>
        <v>0</v>
      </c>
      <c r="N80" s="40">
        <f t="shared" si="68"/>
        <v>0</v>
      </c>
    </row>
    <row r="81" spans="2:16" x14ac:dyDescent="0.3">
      <c r="B81" s="18" t="s">
        <v>132</v>
      </c>
      <c r="C81" s="48" t="s">
        <v>165</v>
      </c>
      <c r="D81" s="5">
        <v>19821.680139999997</v>
      </c>
      <c r="E81" s="5">
        <v>13875.176097999998</v>
      </c>
      <c r="F81" s="41">
        <v>0</v>
      </c>
      <c r="G81" s="5">
        <v>0</v>
      </c>
      <c r="H81" s="5">
        <f t="shared" si="69"/>
        <v>0</v>
      </c>
      <c r="I81" s="5">
        <v>0</v>
      </c>
      <c r="J81" s="5">
        <v>0</v>
      </c>
      <c r="K81" s="40">
        <f t="shared" si="67"/>
        <v>0</v>
      </c>
      <c r="L81" s="40">
        <f t="shared" si="67"/>
        <v>0</v>
      </c>
      <c r="M81" s="40">
        <f t="shared" si="68"/>
        <v>0</v>
      </c>
      <c r="N81" s="40">
        <f t="shared" si="68"/>
        <v>0</v>
      </c>
    </row>
    <row r="82" spans="2:16" ht="15" customHeight="1" x14ac:dyDescent="0.3">
      <c r="B82" s="39" t="s">
        <v>133</v>
      </c>
      <c r="C82" s="4" t="s">
        <v>134</v>
      </c>
      <c r="D82" s="5">
        <v>7087.3687599999994</v>
      </c>
      <c r="E82" s="5">
        <v>4961.1581319999996</v>
      </c>
      <c r="F82" s="41">
        <v>0</v>
      </c>
      <c r="G82" s="5">
        <v>0</v>
      </c>
      <c r="H82" s="5">
        <f>J82+((G82-I82)*0.7)</f>
        <v>0</v>
      </c>
      <c r="I82" s="5">
        <v>0</v>
      </c>
      <c r="J82" s="5">
        <v>0</v>
      </c>
      <c r="K82" s="40">
        <f t="shared" si="67"/>
        <v>0</v>
      </c>
      <c r="L82" s="40">
        <f t="shared" si="67"/>
        <v>0</v>
      </c>
      <c r="M82" s="40">
        <f t="shared" si="68"/>
        <v>0</v>
      </c>
      <c r="N82" s="40">
        <f t="shared" si="68"/>
        <v>0</v>
      </c>
    </row>
    <row r="83" spans="2:16" s="17" customFormat="1" ht="17.100000000000001" customHeight="1" x14ac:dyDescent="0.3">
      <c r="B83" s="56" t="s">
        <v>136</v>
      </c>
      <c r="C83" s="60" t="s">
        <v>137</v>
      </c>
      <c r="D83" s="5">
        <v>37500.000060000028</v>
      </c>
      <c r="E83" s="5">
        <v>26250.000042000014</v>
      </c>
      <c r="F83" s="41">
        <v>52</v>
      </c>
      <c r="G83" s="5">
        <v>37496.87818</v>
      </c>
      <c r="H83" s="5">
        <f>J83+(G83-I83)*0.7</f>
        <v>26263.637180999998</v>
      </c>
      <c r="I83" s="5">
        <v>5558.67425</v>
      </c>
      <c r="J83" s="5">
        <v>3906.8944300000003</v>
      </c>
      <c r="K83" s="38">
        <f>+IFERROR(G83/D83,"")</f>
        <v>0.99991674986679913</v>
      </c>
      <c r="L83" s="38">
        <f>+IFERROR(H83/E83,"")</f>
        <v>1.0005195100563111</v>
      </c>
      <c r="M83" s="38">
        <f>+IFERROR(I83/D83,"")</f>
        <v>0.14823131309616314</v>
      </c>
      <c r="N83" s="38">
        <f>+IFERROR(J83/E83,"")</f>
        <v>0.14883407328567494</v>
      </c>
      <c r="O83" s="59"/>
    </row>
    <row r="84" spans="2:16" s="50" customFormat="1" ht="20.100000000000001" customHeight="1" x14ac:dyDescent="0.3">
      <c r="B84" s="55" t="s">
        <v>95</v>
      </c>
      <c r="C84" s="49"/>
      <c r="D84" s="11">
        <f t="shared" ref="D84:J84" si="70">SUM(D85:D89)</f>
        <v>79024.181300000011</v>
      </c>
      <c r="E84" s="11">
        <f t="shared" si="70"/>
        <v>56892.311193000009</v>
      </c>
      <c r="F84" s="11">
        <f t="shared" si="70"/>
        <v>8268</v>
      </c>
      <c r="G84" s="11">
        <f t="shared" si="70"/>
        <v>89677.303000000029</v>
      </c>
      <c r="H84" s="11">
        <f t="shared" si="70"/>
        <v>64420.184210000021</v>
      </c>
      <c r="I84" s="11">
        <f t="shared" si="70"/>
        <v>32464.025000000005</v>
      </c>
      <c r="J84" s="11">
        <f t="shared" si="70"/>
        <v>24370.889610000013</v>
      </c>
      <c r="K84" s="36">
        <f>+G84/D84</f>
        <v>1.1348083779515223</v>
      </c>
      <c r="L84" s="36">
        <f>+H84/E84</f>
        <v>1.1323179329358346</v>
      </c>
      <c r="M84" s="36">
        <f>+I84/D84</f>
        <v>0.41081127910400761</v>
      </c>
      <c r="N84" s="36">
        <f>+J84/E84</f>
        <v>0.42836877425008868</v>
      </c>
    </row>
    <row r="85" spans="2:16" s="13" customFormat="1" ht="15" customHeight="1" x14ac:dyDescent="0.3">
      <c r="B85" s="61" t="s">
        <v>72</v>
      </c>
      <c r="C85" s="62" t="s">
        <v>73</v>
      </c>
      <c r="D85" s="5">
        <v>31102.85000000002</v>
      </c>
      <c r="E85" s="5">
        <v>22394.051940000012</v>
      </c>
      <c r="F85" s="5">
        <v>1195</v>
      </c>
      <c r="G85" s="5">
        <v>34251.85815</v>
      </c>
      <c r="H85" s="5">
        <f>J85+((G85-I85)*0.7)</f>
        <v>24667.848246000009</v>
      </c>
      <c r="I85" s="5">
        <v>12720.814269999999</v>
      </c>
      <c r="J85" s="5">
        <v>9596.1175300000104</v>
      </c>
      <c r="K85" s="38">
        <f t="shared" ref="K85:K92" si="71">+G85/D85</f>
        <v>1.1012450032714036</v>
      </c>
      <c r="L85" s="38">
        <f t="shared" ref="L85:L92" si="72">+H85/E85</f>
        <v>1.1015357252940263</v>
      </c>
      <c r="M85" s="38">
        <f t="shared" ref="M85:M92" si="73">+I85/D85</f>
        <v>0.4089919177824537</v>
      </c>
      <c r="N85" s="38">
        <f t="shared" ref="N85:N92" si="74">+J85/E85</f>
        <v>0.42851189037654813</v>
      </c>
      <c r="O85" s="59"/>
    </row>
    <row r="86" spans="2:16" s="13" customFormat="1" ht="15" customHeight="1" x14ac:dyDescent="0.3">
      <c r="B86" s="61" t="s">
        <v>74</v>
      </c>
      <c r="C86" s="62" t="s">
        <v>75</v>
      </c>
      <c r="D86" s="5">
        <v>5063.8997499999996</v>
      </c>
      <c r="E86" s="5">
        <v>3646.0078599999993</v>
      </c>
      <c r="F86" s="5">
        <v>174</v>
      </c>
      <c r="G86" s="5">
        <v>5002.5968000000003</v>
      </c>
      <c r="H86" s="5">
        <f>J86+((G86-I86)*0.7)</f>
        <v>3603.0741399999997</v>
      </c>
      <c r="I86" s="5">
        <v>2006.7397000000003</v>
      </c>
      <c r="J86" s="5">
        <v>1505.9741699999997</v>
      </c>
      <c r="K86" s="38">
        <f t="shared" si="71"/>
        <v>0.98789412250904074</v>
      </c>
      <c r="L86" s="38">
        <f t="shared" si="72"/>
        <v>0.9882244576400887</v>
      </c>
      <c r="M86" s="38">
        <f t="shared" si="73"/>
        <v>0.3962834572307638</v>
      </c>
      <c r="N86" s="38">
        <f t="shared" si="74"/>
        <v>0.41304742826308666</v>
      </c>
      <c r="O86" s="59"/>
    </row>
    <row r="87" spans="2:16" s="13" customFormat="1" ht="15" customHeight="1" x14ac:dyDescent="0.3">
      <c r="B87" s="61" t="s">
        <v>76</v>
      </c>
      <c r="C87" s="62" t="s">
        <v>77</v>
      </c>
      <c r="D87" s="5">
        <v>8391.6269999999986</v>
      </c>
      <c r="E87" s="5">
        <v>6041.9711799999995</v>
      </c>
      <c r="F87" s="5">
        <v>2065</v>
      </c>
      <c r="G87" s="5">
        <v>14762.279850000001</v>
      </c>
      <c r="H87" s="5">
        <f t="shared" ref="H87:H89" si="75">J87+((G87-I87)*0.7)</f>
        <v>10502.952282</v>
      </c>
      <c r="I87" s="5">
        <v>3628.1986900000006</v>
      </c>
      <c r="J87" s="5">
        <v>2709.0954700000007</v>
      </c>
      <c r="K87" s="38">
        <f t="shared" si="71"/>
        <v>1.7591677811704456</v>
      </c>
      <c r="L87" s="38">
        <f t="shared" si="72"/>
        <v>1.7383320722824105</v>
      </c>
      <c r="M87" s="38">
        <f t="shared" si="73"/>
        <v>0.43235938513473027</v>
      </c>
      <c r="N87" s="38">
        <f t="shared" si="74"/>
        <v>0.44837940951581978</v>
      </c>
      <c r="O87" s="59"/>
    </row>
    <row r="88" spans="2:16" s="13" customFormat="1" ht="15" customHeight="1" x14ac:dyDescent="0.3">
      <c r="B88" s="61" t="s">
        <v>78</v>
      </c>
      <c r="C88" s="62" t="s">
        <v>166</v>
      </c>
      <c r="D88" s="5">
        <v>32073.382899999993</v>
      </c>
      <c r="E88" s="5">
        <v>23087.736618999996</v>
      </c>
      <c r="F88" s="5">
        <v>4738</v>
      </c>
      <c r="G88" s="5">
        <v>33143.62970000002</v>
      </c>
      <c r="H88" s="5">
        <f t="shared" si="75"/>
        <v>23836.604156000009</v>
      </c>
      <c r="I88" s="5">
        <v>13223.661320000005</v>
      </c>
      <c r="J88" s="5">
        <v>9892.6262900000002</v>
      </c>
      <c r="K88" s="38">
        <f t="shared" si="71"/>
        <v>1.0333686908966508</v>
      </c>
      <c r="L88" s="38">
        <f t="shared" si="72"/>
        <v>1.0324357276487524</v>
      </c>
      <c r="M88" s="38">
        <f t="shared" si="73"/>
        <v>0.41229393735077469</v>
      </c>
      <c r="N88" s="38">
        <f t="shared" si="74"/>
        <v>0.42847969262863506</v>
      </c>
      <c r="O88" s="59"/>
    </row>
    <row r="89" spans="2:16" s="13" customFormat="1" ht="15" customHeight="1" x14ac:dyDescent="0.3">
      <c r="B89" s="61" t="s">
        <v>79</v>
      </c>
      <c r="C89" s="62" t="s">
        <v>167</v>
      </c>
      <c r="D89" s="5">
        <v>2392.4216499999998</v>
      </c>
      <c r="E89" s="5">
        <v>1722.543594</v>
      </c>
      <c r="F89" s="5">
        <v>96</v>
      </c>
      <c r="G89" s="5">
        <v>2516.9385000000002</v>
      </c>
      <c r="H89" s="5">
        <f t="shared" si="75"/>
        <v>1809.7053860000001</v>
      </c>
      <c r="I89" s="5">
        <v>884.61102000000005</v>
      </c>
      <c r="J89" s="5">
        <v>667.0761500000001</v>
      </c>
      <c r="K89" s="38">
        <f t="shared" si="71"/>
        <v>1.0520463648203486</v>
      </c>
      <c r="L89" s="38">
        <f t="shared" si="72"/>
        <v>1.050600630546364</v>
      </c>
      <c r="M89" s="38">
        <f t="shared" si="73"/>
        <v>0.36975548185663681</v>
      </c>
      <c r="N89" s="38">
        <f t="shared" si="74"/>
        <v>0.38726227441997624</v>
      </c>
      <c r="O89" s="59"/>
    </row>
    <row r="90" spans="2:16" s="8" customFormat="1" ht="18.75" customHeight="1" x14ac:dyDescent="0.3">
      <c r="B90" s="55" t="s">
        <v>96</v>
      </c>
      <c r="C90" s="34"/>
      <c r="D90" s="11">
        <f t="shared" ref="D90:J90" si="76">SUM(D91:D92)</f>
        <v>153999.99995999999</v>
      </c>
      <c r="E90" s="11">
        <f>SUM(E91:E92)</f>
        <v>85791.466195341593</v>
      </c>
      <c r="F90" s="11">
        <f t="shared" si="76"/>
        <v>7</v>
      </c>
      <c r="G90" s="11">
        <f t="shared" si="76"/>
        <v>73696.281920000009</v>
      </c>
      <c r="H90" s="11">
        <f t="shared" si="76"/>
        <v>43049.443750961742</v>
      </c>
      <c r="I90" s="11">
        <f t="shared" si="76"/>
        <v>24924.507370000003</v>
      </c>
      <c r="J90" s="11">
        <f t="shared" si="76"/>
        <v>15233.858910000001</v>
      </c>
      <c r="K90" s="36">
        <f>+G90/D90</f>
        <v>0.47854728531910329</v>
      </c>
      <c r="L90" s="36">
        <f>+H90/E90</f>
        <v>0.50179167765871902</v>
      </c>
      <c r="M90" s="36">
        <f>+I90/D90</f>
        <v>0.16184745049658378</v>
      </c>
      <c r="N90" s="36">
        <f>+J90/E90</f>
        <v>0.17756846438914442</v>
      </c>
    </row>
    <row r="91" spans="2:16" s="13" customFormat="1" ht="15" customHeight="1" x14ac:dyDescent="0.3">
      <c r="B91" s="61" t="s">
        <v>80</v>
      </c>
      <c r="C91" s="62" t="s">
        <v>81</v>
      </c>
      <c r="D91" s="5">
        <v>90000</v>
      </c>
      <c r="E91" s="5">
        <v>51377.665883978116</v>
      </c>
      <c r="F91" s="41">
        <v>6</v>
      </c>
      <c r="G91" s="5">
        <v>72899.401200000008</v>
      </c>
      <c r="H91" s="5">
        <f t="shared" ref="H91:H92" si="77">J91+((G91-I91)/(D91/E91))</f>
        <v>42620.948532411814</v>
      </c>
      <c r="I91" s="5">
        <v>24924.507370000003</v>
      </c>
      <c r="J91" s="5">
        <v>15233.858910000001</v>
      </c>
      <c r="K91" s="38">
        <f t="shared" si="71"/>
        <v>0.80999334666666678</v>
      </c>
      <c r="L91" s="38">
        <f t="shared" si="72"/>
        <v>0.82956179108368089</v>
      </c>
      <c r="M91" s="38">
        <f t="shared" si="73"/>
        <v>0.27693897077777779</v>
      </c>
      <c r="N91" s="38">
        <f t="shared" si="74"/>
        <v>0.29650741519479201</v>
      </c>
      <c r="O91" s="59"/>
    </row>
    <row r="92" spans="2:16" s="13" customFormat="1" ht="15" customHeight="1" x14ac:dyDescent="0.3">
      <c r="B92" s="61" t="s">
        <v>82</v>
      </c>
      <c r="C92" s="62" t="s">
        <v>83</v>
      </c>
      <c r="D92" s="5">
        <v>63999.999959999994</v>
      </c>
      <c r="E92" s="5">
        <v>34413.800311363477</v>
      </c>
      <c r="F92" s="41">
        <v>1</v>
      </c>
      <c r="G92" s="5">
        <v>796.88072</v>
      </c>
      <c r="H92" s="5">
        <f t="shared" si="77"/>
        <v>428.49521854992753</v>
      </c>
      <c r="I92" s="5">
        <v>0</v>
      </c>
      <c r="J92" s="5">
        <v>0</v>
      </c>
      <c r="K92" s="38">
        <f t="shared" si="71"/>
        <v>1.2451261257782039E-2</v>
      </c>
      <c r="L92" s="38">
        <f t="shared" si="72"/>
        <v>1.2451261257782039E-2</v>
      </c>
      <c r="M92" s="38">
        <f t="shared" si="73"/>
        <v>0</v>
      </c>
      <c r="N92" s="38">
        <f t="shared" si="74"/>
        <v>0</v>
      </c>
      <c r="O92" s="59"/>
    </row>
    <row r="93" spans="2:16" s="74" customFormat="1" ht="15" customHeight="1" x14ac:dyDescent="0.3"/>
    <row r="94" spans="2:16" ht="15" customHeight="1" x14ac:dyDescent="0.3">
      <c r="B94" s="20" t="s">
        <v>153</v>
      </c>
      <c r="D94" s="79"/>
      <c r="E94" s="80"/>
      <c r="K94" s="79"/>
      <c r="O94" s="2"/>
      <c r="P94" s="2"/>
    </row>
    <row r="95" spans="2:16" x14ac:dyDescent="0.3">
      <c r="B95" s="54" t="s">
        <v>119</v>
      </c>
      <c r="F95" s="81"/>
      <c r="G95" s="3"/>
      <c r="H95" s="3"/>
      <c r="L95" s="81"/>
      <c r="M95" s="3"/>
      <c r="N95" s="3"/>
      <c r="O95" s="2"/>
      <c r="P95" s="2"/>
    </row>
    <row r="96" spans="2:16" x14ac:dyDescent="0.3">
      <c r="F96" s="82"/>
      <c r="G96" s="83"/>
      <c r="H96" s="83"/>
      <c r="L96" s="84"/>
      <c r="M96" s="83"/>
      <c r="N96" s="83"/>
      <c r="O96" s="2"/>
      <c r="P96" s="2"/>
    </row>
  </sheetData>
  <mergeCells count="12">
    <mergeCell ref="B5:B8"/>
    <mergeCell ref="F6:F7"/>
    <mergeCell ref="D7:E7"/>
    <mergeCell ref="C5:C8"/>
    <mergeCell ref="K6:L6"/>
    <mergeCell ref="G7:H7"/>
    <mergeCell ref="I7:J7"/>
    <mergeCell ref="D5:E5"/>
    <mergeCell ref="I5:J5"/>
    <mergeCell ref="K5:N5"/>
    <mergeCell ref="M6:N6"/>
    <mergeCell ref="F5:H5"/>
  </mergeCells>
  <conditionalFormatting sqref="G96:H96">
    <cfRule type="cellIs" dxfId="1" priority="1" operator="notEqual">
      <formula>0</formula>
    </cfRule>
  </conditionalFormatting>
  <conditionalFormatting sqref="M96:N96">
    <cfRule type="cellIs" dxfId="0" priority="3" operator="notEqual">
      <formula>0</formula>
    </cfRule>
  </conditionalFormatting>
  <printOptions horizontalCentered="1"/>
  <pageMargins left="0.35433070866141736" right="0.35433070866141736" top="1.1811023622047245" bottom="0.59055118110236227" header="0.31496062992125984" footer="0.19685039370078741"/>
  <pageSetup paperSize="8" scale="59" orientation="portrait" r:id="rId1"/>
  <headerFooter>
    <oddHeader xml:space="preserve">&amp;L&amp;G
</oddHeader>
  </headerFooter>
  <ignoredErrors>
    <ignoredError sqref="O85 K33:O33 K34:L34 K35:O35 K38:O38 K39:O39 K43:O43 K44:O44 K47:O47 K48:O48 K49:O49 K57:L57 K58:O58 K59:O59 K60:O60 K61:O61 O63 O64 K66:O66 K67:O67 K68 K69:O69 K70:O70 O75 K85:N85 K86:N86 K87:N87 K88:N88 K89:N89 K91:N91 K92:N92 O34 M68:O68 N57:O57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6cb3c51a235a84326d31b492b3b2143f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750a27cfce0d4d507f2c48b78f084e79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DE8F0-B64F-4211-AF41-0AA5B690602B}"/>
</file>

<file path=customXml/itemProps2.xml><?xml version="1.0" encoding="utf-8"?>
<ds:datastoreItem xmlns:ds="http://schemas.openxmlformats.org/officeDocument/2006/customXml" ds:itemID="{AE7104FC-D63A-447D-9B79-EDFE67E21B7F}">
  <ds:schemaRefs>
    <ds:schemaRef ds:uri="6e76675f-25e3-4c63-9f9d-235e5ab3c128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5a5130-429c-4711-af93-69e8e8bc1e5f"/>
    <ds:schemaRef ds:uri="a1e06f6a-479d-4b03-a76e-8e660a2ff3e8"/>
  </ds:schemaRefs>
</ds:datastoreItem>
</file>

<file path=customXml/itemProps3.xml><?xml version="1.0" encoding="utf-8"?>
<ds:datastoreItem xmlns:ds="http://schemas.openxmlformats.org/officeDocument/2006/customXml" ds:itemID="{FD7D03FF-74DE-4554-BB55-DB81BE003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</vt:lpstr>
      <vt:lpstr>'Quadro Síntese'!Área_de_Impressão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 Sousa</dc:creator>
  <cp:lastModifiedBy>Ana Paula Silva</cp:lastModifiedBy>
  <cp:lastPrinted>2025-12-10T11:44:11Z</cp:lastPrinted>
  <dcterms:created xsi:type="dcterms:W3CDTF">2024-01-29T13:40:47Z</dcterms:created>
  <dcterms:modified xsi:type="dcterms:W3CDTF">2025-12-10T11:47:59Z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