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pepacc.sharepoint.com/sites/AMP/Documentos Partilhados/PEPAC 2023-2027/13.MONITORIZAÇÃO/02_ACOMPANHAMENTO/Ponto Situação/2025/2025.08/"/>
    </mc:Choice>
  </mc:AlternateContent>
  <xr:revisionPtr revIDLastSave="1" documentId="8_{09131E2D-1C0F-43DD-B825-DF0AED9EFF69}" xr6:coauthVersionLast="47" xr6:coauthVersionMax="47" xr10:uidLastSave="{CF46D624-23F6-45C6-A813-E2FCF21F9CE4}"/>
  <bookViews>
    <workbookView xWindow="336" yWindow="84" windowWidth="22704" windowHeight="12156" xr2:uid="{00000000-000D-0000-FFFF-FFFF00000000}"/>
  </bookViews>
  <sheets>
    <sheet name="Quadro Síntese" sheetId="1" r:id="rId1"/>
  </sheets>
  <definedNames>
    <definedName name="_xlnm.Print_Area" localSheetId="0">'Quadro Síntese'!$B$1:$O$95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M68" i="1"/>
  <c r="O83" i="1"/>
  <c r="N83" i="1"/>
  <c r="M83" i="1"/>
  <c r="L83" i="1"/>
  <c r="I82" i="1" l="1"/>
  <c r="I81" i="1"/>
  <c r="I80" i="1"/>
  <c r="I79" i="1"/>
  <c r="I78" i="1"/>
  <c r="I77" i="1"/>
  <c r="I66" i="1"/>
  <c r="I54" i="1"/>
  <c r="I53" i="1"/>
  <c r="I35" i="1"/>
  <c r="I29" i="1"/>
  <c r="I25" i="1" l="1"/>
  <c r="G65" i="1" l="1"/>
  <c r="G28" i="1" l="1"/>
  <c r="I27" i="1"/>
  <c r="I26" i="1"/>
  <c r="G15" i="1"/>
  <c r="G14" i="1" l="1"/>
  <c r="I22" i="1"/>
  <c r="I89" i="1"/>
  <c r="I86" i="1"/>
  <c r="I30" i="1"/>
  <c r="I87" i="1"/>
  <c r="I83" i="1"/>
  <c r="I88" i="1"/>
  <c r="I85" i="1"/>
  <c r="I23" i="1" l="1"/>
  <c r="I21" i="1"/>
  <c r="I20" i="1"/>
  <c r="I19" i="1"/>
  <c r="I18" i="1"/>
  <c r="I17" i="1"/>
  <c r="I16" i="1" l="1"/>
  <c r="G37" i="1" l="1"/>
  <c r="H37" i="1"/>
  <c r="I24" i="1" l="1"/>
  <c r="J37" i="1"/>
  <c r="K37" i="1"/>
  <c r="O34" i="1"/>
  <c r="O30" i="1"/>
  <c r="O29" i="1"/>
  <c r="I92" i="1"/>
  <c r="I91" i="1"/>
  <c r="I70" i="1"/>
  <c r="I68" i="1"/>
  <c r="I67" i="1"/>
  <c r="I60" i="1"/>
  <c r="I58" i="1"/>
  <c r="I57" i="1"/>
  <c r="I50" i="1"/>
  <c r="I48" i="1"/>
  <c r="I47" i="1"/>
  <c r="I45" i="1"/>
  <c r="I39" i="1"/>
  <c r="I36" i="1"/>
  <c r="N30" i="1"/>
  <c r="N29" i="1"/>
  <c r="I38" i="1" l="1"/>
  <c r="I49" i="1"/>
  <c r="I59" i="1"/>
  <c r="I69" i="1"/>
  <c r="I33" i="1"/>
  <c r="I44" i="1"/>
  <c r="I64" i="1"/>
  <c r="N34" i="1"/>
  <c r="I34" i="1"/>
  <c r="I40" i="1"/>
  <c r="I51" i="1"/>
  <c r="I61" i="1"/>
  <c r="I43" i="1"/>
  <c r="I52" i="1"/>
  <c r="I63" i="1"/>
  <c r="N27" i="1"/>
  <c r="L27" i="1"/>
  <c r="O26" i="1"/>
  <c r="M26" i="1"/>
  <c r="N26" i="1"/>
  <c r="L26" i="1"/>
  <c r="O27" i="1"/>
  <c r="M27" i="1"/>
  <c r="I32" i="1" l="1"/>
  <c r="I37" i="1"/>
  <c r="H28" i="1"/>
  <c r="I65" i="1" l="1"/>
  <c r="I62" i="1"/>
  <c r="I46" i="1"/>
  <c r="I42" i="1"/>
  <c r="I28" i="1"/>
  <c r="I41" i="1" l="1"/>
  <c r="I31" i="1"/>
  <c r="I76" i="1" l="1"/>
  <c r="I75" i="1" s="1"/>
  <c r="I74" i="1" s="1"/>
  <c r="M64" i="1"/>
  <c r="F28" i="1"/>
  <c r="M28" i="1" s="1"/>
  <c r="E28" i="1" l="1"/>
  <c r="L28" i="1" s="1"/>
  <c r="E56" i="1"/>
  <c r="F15" i="1"/>
  <c r="F14" i="1" s="1"/>
  <c r="E32" i="1"/>
  <c r="E37" i="1"/>
  <c r="F32" i="1"/>
  <c r="M32" i="1" s="1"/>
  <c r="F37" i="1"/>
  <c r="E15" i="1"/>
  <c r="E46" i="1"/>
  <c r="F46" i="1"/>
  <c r="F56" i="1"/>
  <c r="E42" i="1"/>
  <c r="E62" i="1"/>
  <c r="F42" i="1"/>
  <c r="F62" i="1"/>
  <c r="M62" i="1" s="1"/>
  <c r="M63" i="1"/>
  <c r="F76" i="1"/>
  <c r="F75" i="1" s="1"/>
  <c r="E55" i="1" l="1"/>
  <c r="E14" i="1"/>
  <c r="F41" i="1"/>
  <c r="E41" i="1"/>
  <c r="F55" i="1"/>
  <c r="F31" i="1"/>
  <c r="E31" i="1"/>
  <c r="M77" i="1" l="1"/>
  <c r="M78" i="1"/>
  <c r="M79" i="1"/>
  <c r="M80" i="1"/>
  <c r="M81" i="1"/>
  <c r="M82" i="1"/>
  <c r="M75" i="1"/>
  <c r="L78" i="1"/>
  <c r="N78" i="1"/>
  <c r="O78" i="1"/>
  <c r="L79" i="1"/>
  <c r="N79" i="1"/>
  <c r="O79" i="1"/>
  <c r="L80" i="1"/>
  <c r="N80" i="1"/>
  <c r="O80" i="1"/>
  <c r="L81" i="1"/>
  <c r="N81" i="1"/>
  <c r="O81" i="1"/>
  <c r="H76" i="1" l="1"/>
  <c r="H75" i="1" s="1"/>
  <c r="H74" i="1" s="1"/>
  <c r="G76" i="1"/>
  <c r="G75" i="1" s="1"/>
  <c r="G74" i="1" s="1"/>
  <c r="K76" i="1"/>
  <c r="K75" i="1" s="1"/>
  <c r="K74" i="1" s="1"/>
  <c r="J76" i="1"/>
  <c r="J75" i="1" s="1"/>
  <c r="J74" i="1" s="1"/>
  <c r="L82" i="1"/>
  <c r="O82" i="1"/>
  <c r="N82" i="1"/>
  <c r="O77" i="1"/>
  <c r="M74" i="1"/>
  <c r="L64" i="1"/>
  <c r="G62" i="1"/>
  <c r="H56" i="1"/>
  <c r="H46" i="1"/>
  <c r="H42" i="1"/>
  <c r="G42" i="1"/>
  <c r="H32" i="1"/>
  <c r="G32" i="1"/>
  <c r="G31" i="1" s="1"/>
  <c r="O64" i="1"/>
  <c r="N64" i="1"/>
  <c r="K46" i="1"/>
  <c r="J46" i="1"/>
  <c r="K42" i="1"/>
  <c r="J42" i="1"/>
  <c r="K32" i="1"/>
  <c r="J32" i="1"/>
  <c r="L56" i="1" l="1"/>
  <c r="J56" i="1"/>
  <c r="K56" i="1"/>
  <c r="G46" i="1"/>
  <c r="G41" i="1" s="1"/>
  <c r="H65" i="1"/>
  <c r="J15" i="1"/>
  <c r="N15" i="1" s="1"/>
  <c r="K15" i="1"/>
  <c r="O15" i="1" s="1"/>
  <c r="J28" i="1"/>
  <c r="N28" i="1" s="1"/>
  <c r="J65" i="1"/>
  <c r="K28" i="1"/>
  <c r="O28" i="1" s="1"/>
  <c r="K65" i="1"/>
  <c r="G56" i="1"/>
  <c r="G55" i="1" s="1"/>
  <c r="J31" i="1"/>
  <c r="N32" i="1"/>
  <c r="N63" i="1"/>
  <c r="J62" i="1"/>
  <c r="N62" i="1" s="1"/>
  <c r="O32" i="1"/>
  <c r="K31" i="1"/>
  <c r="K62" i="1"/>
  <c r="O62" i="1" s="1"/>
  <c r="O63" i="1"/>
  <c r="L32" i="1"/>
  <c r="H31" i="1"/>
  <c r="L63" i="1"/>
  <c r="H62" i="1"/>
  <c r="L62" i="1" s="1"/>
  <c r="J41" i="1"/>
  <c r="K41" i="1"/>
  <c r="H41" i="1"/>
  <c r="O75" i="1"/>
  <c r="L74" i="1"/>
  <c r="N74" i="1"/>
  <c r="O74" i="1"/>
  <c r="G12" i="1" l="1"/>
  <c r="H55" i="1"/>
  <c r="J14" i="1"/>
  <c r="O56" i="1"/>
  <c r="K55" i="1"/>
  <c r="N56" i="1"/>
  <c r="J55" i="1"/>
  <c r="K14" i="1"/>
  <c r="I90" i="1" l="1"/>
  <c r="H90" i="1"/>
  <c r="G90" i="1"/>
  <c r="G72" i="1" s="1"/>
  <c r="G10" i="1" s="1"/>
  <c r="H15" i="1" l="1"/>
  <c r="L31" i="1"/>
  <c r="M31" i="1"/>
  <c r="L17" i="1"/>
  <c r="L16" i="1"/>
  <c r="N16" i="1"/>
  <c r="O16" i="1"/>
  <c r="G84" i="1"/>
  <c r="H84" i="1"/>
  <c r="H72" i="1" s="1"/>
  <c r="L15" i="1" l="1"/>
  <c r="H14" i="1"/>
  <c r="H12" i="1" s="1"/>
  <c r="H10" i="1" s="1"/>
  <c r="I56" i="1"/>
  <c r="I15" i="1"/>
  <c r="N31" i="1"/>
  <c r="I84" i="1"/>
  <c r="I72" i="1" s="1"/>
  <c r="M56" i="1" l="1"/>
  <c r="I55" i="1"/>
  <c r="I14" i="1"/>
  <c r="M15" i="1"/>
  <c r="I12" i="1" l="1"/>
  <c r="I10" i="1" s="1"/>
  <c r="K90" i="1"/>
  <c r="J90" i="1"/>
  <c r="J84" i="1" l="1"/>
  <c r="J72" i="1" s="1"/>
  <c r="M53" i="1"/>
  <c r="O50" i="1"/>
  <c r="O25" i="1"/>
  <c r="N24" i="1"/>
  <c r="N22" i="1"/>
  <c r="O19" i="1"/>
  <c r="L59" i="1" l="1"/>
  <c r="M67" i="1"/>
  <c r="M25" i="1"/>
  <c r="M49" i="1"/>
  <c r="L25" i="1"/>
  <c r="L24" i="1"/>
  <c r="M29" i="1"/>
  <c r="L22" i="1"/>
  <c r="M24" i="1"/>
  <c r="L50" i="1"/>
  <c r="L29" i="1"/>
  <c r="N89" i="1"/>
  <c r="O23" i="1"/>
  <c r="O49" i="1"/>
  <c r="L51" i="1"/>
  <c r="M30" i="1"/>
  <c r="M51" i="1"/>
  <c r="M39" i="1"/>
  <c r="M35" i="1"/>
  <c r="M43" i="1"/>
  <c r="O51" i="1"/>
  <c r="L70" i="1"/>
  <c r="L52" i="1"/>
  <c r="M52" i="1"/>
  <c r="L49" i="1"/>
  <c r="K84" i="1"/>
  <c r="K72" i="1" s="1"/>
  <c r="O18" i="1"/>
  <c r="N87" i="1"/>
  <c r="N39" i="1"/>
  <c r="N47" i="1"/>
  <c r="F90" i="1"/>
  <c r="O90" i="1" s="1"/>
  <c r="N18" i="1"/>
  <c r="N20" i="1"/>
  <c r="N21" i="1"/>
  <c r="N38" i="1"/>
  <c r="O39" i="1"/>
  <c r="O47" i="1"/>
  <c r="N59" i="1"/>
  <c r="O60" i="1"/>
  <c r="N66" i="1"/>
  <c r="O67" i="1"/>
  <c r="N70" i="1"/>
  <c r="O17" i="1"/>
  <c r="M34" i="1"/>
  <c r="L39" i="1"/>
  <c r="N49" i="1"/>
  <c r="L60" i="1"/>
  <c r="M61" i="1"/>
  <c r="L67" i="1"/>
  <c r="L85" i="1"/>
  <c r="L87" i="1"/>
  <c r="L89" i="1"/>
  <c r="M92" i="1"/>
  <c r="L19" i="1"/>
  <c r="O21" i="1"/>
  <c r="N19" i="1"/>
  <c r="O20" i="1"/>
  <c r="L23" i="1"/>
  <c r="N33" i="1"/>
  <c r="N35" i="1"/>
  <c r="N44" i="1"/>
  <c r="O48" i="1"/>
  <c r="N53" i="1"/>
  <c r="N54" i="1"/>
  <c r="L57" i="1"/>
  <c r="N58" i="1"/>
  <c r="O59" i="1"/>
  <c r="N69" i="1"/>
  <c r="O70" i="1"/>
  <c r="L86" i="1"/>
  <c r="N88" i="1"/>
  <c r="E90" i="1"/>
  <c r="M91" i="1"/>
  <c r="N92" i="1"/>
  <c r="L21" i="1"/>
  <c r="N23" i="1"/>
  <c r="N25" i="1"/>
  <c r="O35" i="1"/>
  <c r="L38" i="1"/>
  <c r="O44" i="1"/>
  <c r="L47" i="1"/>
  <c r="L48" i="1"/>
  <c r="N51" i="1"/>
  <c r="O53" i="1"/>
  <c r="O54" i="1"/>
  <c r="M60" i="1"/>
  <c r="N61" i="1"/>
  <c r="E65" i="1"/>
  <c r="N68" i="1"/>
  <c r="F84" i="1"/>
  <c r="N17" i="1"/>
  <c r="L20" i="1"/>
  <c r="O24" i="1"/>
  <c r="L33" i="1"/>
  <c r="M33" i="1"/>
  <c r="L34" i="1"/>
  <c r="L35" i="1"/>
  <c r="M38" i="1"/>
  <c r="L44" i="1"/>
  <c r="M47" i="1"/>
  <c r="M48" i="1"/>
  <c r="N50" i="1"/>
  <c r="O52" i="1"/>
  <c r="L53" i="1"/>
  <c r="L54" i="1"/>
  <c r="O57" i="1"/>
  <c r="M59" i="1"/>
  <c r="N60" i="1"/>
  <c r="O61" i="1"/>
  <c r="F65" i="1"/>
  <c r="O65" i="1" s="1"/>
  <c r="N67" i="1"/>
  <c r="O68" i="1"/>
  <c r="L69" i="1"/>
  <c r="M70" i="1"/>
  <c r="E84" i="1"/>
  <c r="N86" i="1"/>
  <c r="L88" i="1"/>
  <c r="L92" i="1"/>
  <c r="O69" i="1"/>
  <c r="O22" i="1"/>
  <c r="L30" i="1"/>
  <c r="O38" i="1"/>
  <c r="N41" i="1"/>
  <c r="N43" i="1"/>
  <c r="N48" i="1"/>
  <c r="N52" i="1"/>
  <c r="L61" i="1"/>
  <c r="O66" i="1"/>
  <c r="L68" i="1"/>
  <c r="O86" i="1"/>
  <c r="O87" i="1"/>
  <c r="O88" i="1"/>
  <c r="O89" i="1"/>
  <c r="O92" i="1"/>
  <c r="L18" i="1"/>
  <c r="O33" i="1"/>
  <c r="M44" i="1"/>
  <c r="M50" i="1"/>
  <c r="M54" i="1"/>
  <c r="M58" i="1"/>
  <c r="M69" i="1"/>
  <c r="O58" i="1"/>
  <c r="L66" i="1"/>
  <c r="N85" i="1"/>
  <c r="N91" i="1"/>
  <c r="O43" i="1"/>
  <c r="L58" i="1"/>
  <c r="M66" i="1"/>
  <c r="O85" i="1"/>
  <c r="O91" i="1"/>
  <c r="L43" i="1"/>
  <c r="L91" i="1"/>
  <c r="M37" i="1" l="1"/>
  <c r="O37" i="1"/>
  <c r="N37" i="1"/>
  <c r="L37" i="1"/>
  <c r="M41" i="1"/>
  <c r="L65" i="1"/>
  <c r="L90" i="1"/>
  <c r="L14" i="1"/>
  <c r="M90" i="1"/>
  <c r="N84" i="1"/>
  <c r="L84" i="1"/>
  <c r="M65" i="1"/>
  <c r="F72" i="1"/>
  <c r="O72" i="1" s="1"/>
  <c r="M86" i="1"/>
  <c r="M87" i="1"/>
  <c r="M88" i="1"/>
  <c r="M89" i="1"/>
  <c r="M21" i="1"/>
  <c r="M20" i="1"/>
  <c r="M22" i="1"/>
  <c r="M23" i="1"/>
  <c r="M17" i="1"/>
  <c r="M19" i="1"/>
  <c r="M18" i="1"/>
  <c r="O55" i="1"/>
  <c r="N90" i="1"/>
  <c r="L55" i="1"/>
  <c r="E72" i="1"/>
  <c r="N14" i="1"/>
  <c r="M57" i="1"/>
  <c r="M55" i="1"/>
  <c r="O84" i="1"/>
  <c r="O31" i="1"/>
  <c r="M85" i="1"/>
  <c r="N55" i="1"/>
  <c r="E12" i="1"/>
  <c r="N65" i="1"/>
  <c r="L41" i="1"/>
  <c r="J12" i="1"/>
  <c r="J10" i="1" s="1"/>
  <c r="F12" i="1"/>
  <c r="O14" i="1"/>
  <c r="K12" i="1"/>
  <c r="K10" i="1" s="1"/>
  <c r="O41" i="1"/>
  <c r="E10" i="1" l="1"/>
  <c r="F10" i="1"/>
  <c r="L72" i="1"/>
  <c r="N72" i="1"/>
  <c r="M72" i="1"/>
  <c r="M84" i="1"/>
  <c r="O12" i="1"/>
  <c r="N12" i="1"/>
  <c r="L12" i="1"/>
  <c r="M16" i="1"/>
  <c r="M14" i="1" l="1"/>
  <c r="N10" i="1"/>
  <c r="O10" i="1"/>
  <c r="L10" i="1"/>
  <c r="M12" i="1" l="1"/>
  <c r="M10" i="1"/>
  <c r="E76" i="1"/>
  <c r="E75" i="1" s="1"/>
  <c r="N77" i="1"/>
  <c r="L77" i="1"/>
  <c r="N75" i="1" l="1"/>
  <c r="L75" i="1"/>
</calcChain>
</file>

<file path=xl/sharedStrings.xml><?xml version="1.0" encoding="utf-8"?>
<sst xmlns="http://schemas.openxmlformats.org/spreadsheetml/2006/main" count="195" uniqueCount="177">
  <si>
    <t>Artigo</t>
  </si>
  <si>
    <t>FEADER</t>
  </si>
  <si>
    <t>Nº</t>
  </si>
  <si>
    <t>C.1.1.1.1.1</t>
  </si>
  <si>
    <t>Conservação do solo - Sementeira direta</t>
  </si>
  <si>
    <t>70º</t>
  </si>
  <si>
    <t>C.1.1.1.1.2</t>
  </si>
  <si>
    <t>Conservação do solo - Enrelvamento</t>
  </si>
  <si>
    <t>C.1.1.1.1.3</t>
  </si>
  <si>
    <t>Conservação do solo - Pastagens biodiversas</t>
  </si>
  <si>
    <t>C.1.1.1.2</t>
  </si>
  <si>
    <t>Uso eficiente da água</t>
  </si>
  <si>
    <t>C.1.1.2.1</t>
  </si>
  <si>
    <t>Montados e lameiros</t>
  </si>
  <si>
    <t>C.1.1.2.2</t>
  </si>
  <si>
    <t>Culturas permanentes e paisagens tradicionais</t>
  </si>
  <si>
    <t>C.1.1.3</t>
  </si>
  <si>
    <t>Mosaico agroflorestal</t>
  </si>
  <si>
    <t>C.1.1.4</t>
  </si>
  <si>
    <t>Manutenção de raças autóctones</t>
  </si>
  <si>
    <t>C.1.1.5</t>
  </si>
  <si>
    <t>C.1.1.6</t>
  </si>
  <si>
    <t>Apoio à apicultura</t>
  </si>
  <si>
    <t>C.1.2.1</t>
  </si>
  <si>
    <t>Apoio às zonas com condicionantes naturais</t>
  </si>
  <si>
    <t>71º</t>
  </si>
  <si>
    <t>C.1.2.2</t>
  </si>
  <si>
    <t>Pagamento rede natura</t>
  </si>
  <si>
    <t>72º</t>
  </si>
  <si>
    <t>C.2.1.1</t>
  </si>
  <si>
    <t>Investimento produtivo agrícola - Modernização</t>
  </si>
  <si>
    <t>73º e 74º</t>
  </si>
  <si>
    <t>C.2.1.2</t>
  </si>
  <si>
    <t>Investimento agrícola para melhoria do desempenho ambiental</t>
  </si>
  <si>
    <t>C.2.1.3</t>
  </si>
  <si>
    <t>Investimentos não produtivos</t>
  </si>
  <si>
    <t>C.2.2.1</t>
  </si>
  <si>
    <t>Prémio instalação jovens agricultores</t>
  </si>
  <si>
    <t>75º</t>
  </si>
  <si>
    <t>C.2.2.2</t>
  </si>
  <si>
    <t>Investimento produtivo jovens agricultores</t>
  </si>
  <si>
    <t>C.3.1.1</t>
  </si>
  <si>
    <t>Investimento produtivo bioeconomia - Modernização</t>
  </si>
  <si>
    <t>C.3.1.2</t>
  </si>
  <si>
    <t>Investimento na bioeconomia para melhoria do desempenho ambiental</t>
  </si>
  <si>
    <t>C.3.2.1</t>
  </si>
  <si>
    <t>Florestação de terras agrícolas e não-agrícolas</t>
  </si>
  <si>
    <t>C.3.2.2</t>
  </si>
  <si>
    <t>Instalação de sistemas agroflorestais</t>
  </si>
  <si>
    <t>C.3.2.3</t>
  </si>
  <si>
    <t>Prevenção da floresta contra agentes bióticos e abióticos</t>
  </si>
  <si>
    <t>C.3.2.4</t>
  </si>
  <si>
    <t>C.3.2.5</t>
  </si>
  <si>
    <t>Promoção dos serviços de ecossistema</t>
  </si>
  <si>
    <t>C.3.2.6</t>
  </si>
  <si>
    <t>Melhoria do valor económico das florestas</t>
  </si>
  <si>
    <t>C.3.2.7</t>
  </si>
  <si>
    <t>Gestão da fauna selvagem</t>
  </si>
  <si>
    <t>C.3.2.8</t>
  </si>
  <si>
    <t>Prémio à perda de rendimento e à manutenção de investimentos florestais</t>
  </si>
  <si>
    <t>C.4.1.1</t>
  </si>
  <si>
    <t>Seguros</t>
  </si>
  <si>
    <t>76º</t>
  </si>
  <si>
    <t>C.4.1.2</t>
  </si>
  <si>
    <t>Prevenção de calamidades e catástrofes naturais</t>
  </si>
  <si>
    <t>C.4.1.3</t>
  </si>
  <si>
    <t>C.4.1.4</t>
  </si>
  <si>
    <t>C.4.2</t>
  </si>
  <si>
    <t>Apoio à promoção de produtos de qualidade</t>
  </si>
  <si>
    <t>77º</t>
  </si>
  <si>
    <t>C.4.3.1</t>
  </si>
  <si>
    <t>Criação de agrupamentos e organizações de produtores</t>
  </si>
  <si>
    <t>C.4.3.2</t>
  </si>
  <si>
    <t>Organizações interprofissionais</t>
  </si>
  <si>
    <t>C.5.1</t>
  </si>
  <si>
    <t>Grupos operacionais para a inovação</t>
  </si>
  <si>
    <t>C.5.2</t>
  </si>
  <si>
    <t>Formação e informação</t>
  </si>
  <si>
    <t>78º</t>
  </si>
  <si>
    <t>C.5.3</t>
  </si>
  <si>
    <t>Aconselhamento</t>
  </si>
  <si>
    <t>C.5.4</t>
  </si>
  <si>
    <t>Conhecimento agroambiental e climático</t>
  </si>
  <si>
    <t>C.5.5</t>
  </si>
  <si>
    <t>Acompanhamento técnico especializado - Intercâmbio de conhecimento</t>
  </si>
  <si>
    <t>D.2.1</t>
  </si>
  <si>
    <t>Planos zonais agroambientais</t>
  </si>
  <si>
    <t>D.2.2</t>
  </si>
  <si>
    <t>Gestão do montado por resultados</t>
  </si>
  <si>
    <t>D.2.3</t>
  </si>
  <si>
    <t>Gestão integrada em zonas críticas</t>
  </si>
  <si>
    <t>D.2.4</t>
  </si>
  <si>
    <t>Proteção de espécies com estatuto em superfície agrícola</t>
  </si>
  <si>
    <t>D.2.5</t>
  </si>
  <si>
    <t>Proteção de espécies com estatuto em silvoambientais</t>
  </si>
  <si>
    <t>D.3.1</t>
  </si>
  <si>
    <t>Desenvolvimento do regadio sustentável</t>
  </si>
  <si>
    <t>D.3.2</t>
  </si>
  <si>
    <t>Melhoria da sustentabilidade dos regadios existentes</t>
  </si>
  <si>
    <t>TOTAL PEPAC CONTINENTE</t>
  </si>
  <si>
    <t>COMPROMISSOS</t>
  </si>
  <si>
    <t>INDICADORES</t>
  </si>
  <si>
    <t>DESCRIÇÃO DA INTERVENÇÃO</t>
  </si>
  <si>
    <t>Restabelecimento do potencial silvícola na sequência de catástrofes…</t>
  </si>
  <si>
    <t>Fundo de emergência rural</t>
  </si>
  <si>
    <t>Restabelecimento do potencial produtivo</t>
  </si>
  <si>
    <t>CÓDIGO INTERVENÇÃO</t>
  </si>
  <si>
    <t>C.1. Gestão Ambiental e Climática</t>
  </si>
  <si>
    <t>C.4. Risco e Organização da Produção</t>
  </si>
  <si>
    <t>C.5. Conhecimento</t>
  </si>
  <si>
    <t>D.2. Programas de Ação em Áreas Sensíveis</t>
  </si>
  <si>
    <t>D.3. Regadios Coletivos Sustentáveis</t>
  </si>
  <si>
    <t>C.1.1. Compromissos agroambientais e clima</t>
  </si>
  <si>
    <t>C.1.2. Manutenção da atividade agrícola em zonas com condicionantes</t>
  </si>
  <si>
    <t>C.2.1. Investimento na exploração agrícola</t>
  </si>
  <si>
    <t>C.2.2. Instalação de jovens agricultores</t>
  </si>
  <si>
    <t>C.3.1. Investimentos na bioeconomia de base agrícola/florestal</t>
  </si>
  <si>
    <t>C.3.2. Silvicultura sustentável</t>
  </si>
  <si>
    <t>C.4.1. Gestão de riscos</t>
  </si>
  <si>
    <t>C.4.3. Organização da produção</t>
  </si>
  <si>
    <t>Mil euros</t>
  </si>
  <si>
    <t>FEADER (%)</t>
  </si>
  <si>
    <t>[1]</t>
  </si>
  <si>
    <t>[2]</t>
  </si>
  <si>
    <t>[3]</t>
  </si>
  <si>
    <t>[6]</t>
  </si>
  <si>
    <t>[7]</t>
  </si>
  <si>
    <t>[8]</t>
  </si>
  <si>
    <t>[9]</t>
  </si>
  <si>
    <t>[10] = [6] / [1]</t>
  </si>
  <si>
    <t>[11] = [7] / [1]</t>
  </si>
  <si>
    <t>[13] = [9] / [2]</t>
  </si>
  <si>
    <t>[12] = [8) / (1]</t>
  </si>
  <si>
    <t>PROGRAMAÇÃO [a]</t>
  </si>
  <si>
    <t>PAGAMENTOS [b]</t>
  </si>
  <si>
    <t>[b] Informação enviada pelo IFAP</t>
  </si>
  <si>
    <t>Taxa de compromisso</t>
  </si>
  <si>
    <t>Taxa de execução</t>
  </si>
  <si>
    <t>D.1.1.1</t>
  </si>
  <si>
    <t>Implementação das Estratégias</t>
  </si>
  <si>
    <t>D.1.1.1.1</t>
  </si>
  <si>
    <t>Pequenos investimentos na exploração agrícola</t>
  </si>
  <si>
    <t>D.1.1.1.2</t>
  </si>
  <si>
    <t>Pequenos investimentos na bioeconomia e economia circular</t>
  </si>
  <si>
    <t>D.1.1.1.3</t>
  </si>
  <si>
    <t>Investimentos em diversificação, comércio e serviços associado</t>
  </si>
  <si>
    <t>D.1.1.1.4</t>
  </si>
  <si>
    <t>Inovação na comercialização, cadeias curtas e mercados locais</t>
  </si>
  <si>
    <t>D.1.1.1.5</t>
  </si>
  <si>
    <t>Conservação e valorização do património rural, natural, cultural e gastronómico (incluindo Aldeias Inteligentes)</t>
  </si>
  <si>
    <t>D.1.1.2</t>
  </si>
  <si>
    <t>Cooperação</t>
  </si>
  <si>
    <t>D.1.1</t>
  </si>
  <si>
    <t>Desenvolvimento Local de Base Comunitária</t>
  </si>
  <si>
    <t>D.1.2</t>
  </si>
  <si>
    <t>Gestão, acompanhamento e avaliação da estratégia e sua animação</t>
  </si>
  <si>
    <t>C.1.1.7</t>
  </si>
  <si>
    <t xml:space="preserve">Produção Integrada-PRODI  </t>
  </si>
  <si>
    <t>C.1.1.8</t>
  </si>
  <si>
    <t>C.2.1.4</t>
  </si>
  <si>
    <t>Investimento produtivo agrícola - Modernização e melhoria do desempenho ambiental apoiado por instrumento financeiro</t>
  </si>
  <si>
    <t>C.2.2.3</t>
  </si>
  <si>
    <t>Investimento produtivo jovens agricultores apoiado por instrumento financeiro</t>
  </si>
  <si>
    <t>C.3.1.3</t>
  </si>
  <si>
    <t>Investimento produtivo bioeconomia - Modernização e melhoria do desempenho ambiental apoiado por instrumento financeiro</t>
  </si>
  <si>
    <t>TOTAL EIXO C. DESENVOLVIMENTO RURAL</t>
  </si>
  <si>
    <t xml:space="preserve"> C.2. Investimento e Rejuvenescimento</t>
  </si>
  <si>
    <t>D.1. Desenvolvimento local de base comunitária</t>
  </si>
  <si>
    <t>Despesa pública (%)</t>
  </si>
  <si>
    <t>Conservação e melhoramento de recursos genéticos (animais, vegetais e florestais)</t>
  </si>
  <si>
    <t>Despesa pública</t>
  </si>
  <si>
    <t xml:space="preserve"> C.3. Sustentabilidade das Zonas Rurais</t>
  </si>
  <si>
    <t>TOTAL EIXO D. ABORDAGEM TERRITORIAL INTEGRADA</t>
  </si>
  <si>
    <t>Quadro Síntese da Execução Financeira do PEPAC Continente</t>
  </si>
  <si>
    <t>[a] Decisão C (2025) 667 de 5 de fevereiro</t>
  </si>
  <si>
    <t>Agricultura biológica (Conversão e Manutenção)</t>
  </si>
  <si>
    <t>Dados reportados a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</si>
</sst>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2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b/>
      <sz val="10"/>
      <color theme="4" tint="0.79998168889431442"/>
      <name val="Aptos"/>
      <family val="2"/>
    </font>
    <font>
      <b/>
      <sz val="10"/>
      <color theme="2"/>
      <name val="Aptos"/>
      <family val="2"/>
    </font>
    <font>
      <b/>
      <sz val="10"/>
      <color theme="1" tint="0.14999847407452621"/>
      <name val="Aptos"/>
      <family val="2"/>
    </font>
    <font>
      <sz val="10"/>
      <color theme="1" tint="0.14999847407452621"/>
      <name val="Aptos"/>
      <family val="2"/>
    </font>
    <font>
      <sz val="10"/>
      <color theme="0" tint="-4.9989318521683403E-2"/>
      <name val="Aptos"/>
      <family val="2"/>
    </font>
    <font>
      <sz val="10"/>
      <color theme="1" tint="0.249977111117893"/>
      <name val="Aptos"/>
      <family val="2"/>
    </font>
    <font>
      <sz val="10"/>
      <name val="Aptos"/>
      <family val="2"/>
    </font>
    <font>
      <i/>
      <sz val="10"/>
      <name val="Aptos"/>
      <family val="2"/>
    </font>
    <font>
      <b/>
      <sz val="10"/>
      <color rgb="FFF5FDCF"/>
      <name val="Aptos"/>
      <family val="2"/>
    </font>
    <font>
      <sz val="10"/>
      <color rgb="FFF5FDCF"/>
      <name val="Aptos"/>
      <family val="2"/>
    </font>
    <font>
      <b/>
      <sz val="11"/>
      <color rgb="FFF5FDCF"/>
      <name val="Aptos"/>
      <family val="2"/>
    </font>
    <font>
      <sz val="11"/>
      <color rgb="FFF5FDCF"/>
      <name val="Aptos"/>
      <family val="2"/>
    </font>
    <font>
      <sz val="11"/>
      <color theme="1" tint="0.14999847407452621"/>
      <name val="Aptos"/>
      <family val="2"/>
    </font>
    <font>
      <b/>
      <sz val="11"/>
      <color rgb="FF194B50"/>
      <name val="Aptos"/>
      <family val="2"/>
    </font>
    <font>
      <sz val="11"/>
      <color rgb="FF194B50"/>
      <name val="Aptos"/>
      <family val="2"/>
    </font>
    <font>
      <sz val="8"/>
      <name val="Aptos"/>
      <family val="2"/>
    </font>
    <font>
      <sz val="11"/>
      <name val="Aptos"/>
      <family val="2"/>
    </font>
    <font>
      <sz val="11"/>
      <color rgb="FF000000"/>
      <name val="Aptos"/>
      <family val="2"/>
    </font>
    <font>
      <b/>
      <sz val="16"/>
      <color theme="1" tint="0.1499984740745262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4B50"/>
        <bgColor indexed="64"/>
      </patternFill>
    </fill>
    <fill>
      <patternFill patternType="solid">
        <fgColor rgb="FF7E9D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8E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3" fontId="9" fillId="0" borderId="3" xfId="0" applyNumberFormat="1" applyFont="1" applyBorder="1" applyAlignment="1">
      <alignment horizontal="right" vertical="center" indent="1"/>
    </xf>
    <xf numFmtId="3" fontId="11" fillId="4" borderId="3" xfId="0" applyNumberFormat="1" applyFont="1" applyFill="1" applyBorder="1" applyAlignment="1">
      <alignment horizontal="center" vertical="center" wrapText="1"/>
    </xf>
    <xf numFmtId="3" fontId="13" fillId="3" borderId="3" xfId="0" applyNumberFormat="1" applyFont="1" applyFill="1" applyBorder="1" applyAlignment="1">
      <alignment horizontal="right" vertical="center" indent="1"/>
    </xf>
    <xf numFmtId="0" fontId="14" fillId="0" borderId="0" xfId="0" applyFont="1" applyAlignment="1">
      <alignment vertical="center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3" fontId="13" fillId="3" borderId="8" xfId="0" applyNumberFormat="1" applyFont="1" applyFill="1" applyBorder="1" applyAlignment="1">
      <alignment horizontal="right" vertical="center" indent="1"/>
    </xf>
    <xf numFmtId="3" fontId="13" fillId="4" borderId="3" xfId="0" applyNumberFormat="1" applyFont="1" applyFill="1" applyBorder="1" applyAlignment="1">
      <alignment horizontal="right" vertical="center" indent="1"/>
    </xf>
    <xf numFmtId="0" fontId="13" fillId="3" borderId="3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3" fillId="3" borderId="10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right" vertical="center" indent="1"/>
    </xf>
    <xf numFmtId="0" fontId="13" fillId="3" borderId="3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 wrapText="1" indent="4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2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 wrapText="1"/>
    </xf>
    <xf numFmtId="9" fontId="13" fillId="3" borderId="3" xfId="1" applyFont="1" applyFill="1" applyBorder="1" applyAlignment="1" applyProtection="1">
      <alignment horizontal="right" vertical="center" indent="1"/>
    </xf>
    <xf numFmtId="0" fontId="15" fillId="0" borderId="0" xfId="0" applyFont="1" applyAlignment="1">
      <alignment horizontal="center" vertical="center"/>
    </xf>
    <xf numFmtId="9" fontId="13" fillId="3" borderId="8" xfId="1" applyFont="1" applyFill="1" applyBorder="1" applyAlignment="1" applyProtection="1">
      <alignment horizontal="right" vertical="center" indent="1"/>
    </xf>
    <xf numFmtId="0" fontId="14" fillId="0" borderId="0" xfId="0" applyFont="1" applyAlignment="1">
      <alignment horizontal="center" vertical="center"/>
    </xf>
    <xf numFmtId="0" fontId="13" fillId="4" borderId="7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 wrapText="1"/>
    </xf>
    <xf numFmtId="9" fontId="13" fillId="4" borderId="3" xfId="0" applyNumberFormat="1" applyFont="1" applyFill="1" applyBorder="1" applyAlignment="1">
      <alignment horizontal="right" vertical="center" indent="1"/>
    </xf>
    <xf numFmtId="9" fontId="13" fillId="4" borderId="3" xfId="1" applyFont="1" applyFill="1" applyBorder="1" applyAlignment="1" applyProtection="1">
      <alignment horizontal="right" vertical="center" indent="1"/>
    </xf>
    <xf numFmtId="0" fontId="9" fillId="0" borderId="3" xfId="0" applyFont="1" applyBorder="1" applyAlignment="1">
      <alignment horizontal="left" vertical="center" indent="3"/>
    </xf>
    <xf numFmtId="9" fontId="9" fillId="0" borderId="3" xfId="1" applyFont="1" applyFill="1" applyBorder="1" applyAlignment="1" applyProtection="1">
      <alignment horizontal="right" vertical="center" indent="1"/>
    </xf>
    <xf numFmtId="0" fontId="9" fillId="0" borderId="3" xfId="0" applyFont="1" applyBorder="1" applyAlignment="1">
      <alignment horizontal="left" vertical="center" wrapText="1" indent="3"/>
    </xf>
    <xf numFmtId="9" fontId="9" fillId="0" borderId="3" xfId="1" applyFont="1" applyBorder="1" applyAlignment="1" applyProtection="1">
      <alignment horizontal="right" vertical="center" indent="1"/>
    </xf>
    <xf numFmtId="3" fontId="9" fillId="2" borderId="3" xfId="0" applyNumberFormat="1" applyFont="1" applyFill="1" applyBorder="1" applyAlignment="1">
      <alignment horizontal="right" vertical="center" indent="1"/>
    </xf>
    <xf numFmtId="0" fontId="14" fillId="4" borderId="6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horizontal="right" vertical="center" indent="1"/>
    </xf>
    <xf numFmtId="9" fontId="3" fillId="0" borderId="7" xfId="1" applyFont="1" applyFill="1" applyBorder="1" applyAlignment="1" applyProtection="1">
      <alignment horizontal="right" vertical="center" inden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 indent="3"/>
    </xf>
    <xf numFmtId="0" fontId="13" fillId="4" borderId="7" xfId="0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4" borderId="5" xfId="0" applyFont="1" applyFill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wrapText="1" indent="2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center" vertical="center" wrapText="1"/>
    </xf>
    <xf numFmtId="9" fontId="19" fillId="0" borderId="3" xfId="1" applyFont="1" applyBorder="1" applyAlignment="1" applyProtection="1">
      <alignment horizontal="right" vertical="center" indent="1"/>
    </xf>
    <xf numFmtId="0" fontId="15" fillId="0" borderId="0" xfId="0" applyFont="1" applyAlignment="1">
      <alignment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indent="2"/>
    </xf>
    <xf numFmtId="0" fontId="19" fillId="0" borderId="3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20" fillId="6" borderId="5" xfId="0" applyFont="1" applyFill="1" applyBorder="1" applyAlignment="1">
      <alignment horizontal="left" vertical="center" indent="2"/>
    </xf>
    <xf numFmtId="0" fontId="20" fillId="6" borderId="7" xfId="0" applyFont="1" applyFill="1" applyBorder="1" applyAlignment="1">
      <alignment horizontal="left" vertical="center" wrapText="1" indent="1"/>
    </xf>
    <xf numFmtId="0" fontId="20" fillId="6" borderId="6" xfId="0" applyFont="1" applyFill="1" applyBorder="1" applyAlignment="1">
      <alignment vertical="center" wrapText="1"/>
    </xf>
    <xf numFmtId="3" fontId="20" fillId="6" borderId="3" xfId="0" applyNumberFormat="1" applyFont="1" applyFill="1" applyBorder="1" applyAlignment="1">
      <alignment horizontal="right" vertical="center" indent="1"/>
    </xf>
    <xf numFmtId="9" fontId="20" fillId="6" borderId="3" xfId="1" applyFont="1" applyFill="1" applyBorder="1" applyAlignment="1" applyProtection="1">
      <alignment horizontal="right" vertical="center" indent="1"/>
    </xf>
    <xf numFmtId="0" fontId="20" fillId="0" borderId="0" xfId="0" applyFont="1" applyAlignment="1">
      <alignment vertical="center"/>
    </xf>
    <xf numFmtId="0" fontId="20" fillId="6" borderId="7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left" vertical="center" wrapText="1"/>
    </xf>
    <xf numFmtId="9" fontId="20" fillId="6" borderId="3" xfId="0" applyNumberFormat="1" applyFont="1" applyFill="1" applyBorder="1" applyAlignment="1">
      <alignment horizontal="right" vertical="center" indent="1"/>
    </xf>
    <xf numFmtId="0" fontId="20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Continuous" vertical="center" wrapText="1"/>
    </xf>
    <xf numFmtId="164" fontId="9" fillId="0" borderId="3" xfId="1" applyNumberFormat="1" applyFont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3" fontId="6" fillId="0" borderId="0" xfId="0" applyNumberFormat="1" applyFont="1"/>
    <xf numFmtId="3" fontId="15" fillId="0" borderId="0" xfId="0" applyNumberFormat="1" applyFont="1" applyAlignment="1">
      <alignment horizontal="center" vertical="center"/>
    </xf>
    <xf numFmtId="3" fontId="11" fillId="4" borderId="5" xfId="0" applyNumberFormat="1" applyFont="1" applyFill="1" applyBorder="1" applyAlignment="1">
      <alignment horizontal="center" vertical="center" wrapText="1"/>
    </xf>
    <xf numFmtId="3" fontId="11" fillId="4" borderId="6" xfId="0" applyNumberFormat="1" applyFont="1" applyFill="1" applyBorder="1" applyAlignment="1">
      <alignment horizontal="center"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0"/>
  <tableStyles count="0" defaultTableStyle="TableStyleMedium2" defaultPivotStyle="PivotStyleLight16"/>
  <colors>
    <mruColors>
      <color rgb="FF000000"/>
      <color rgb="FFD9E8E9"/>
      <color rgb="FFF5FDCF"/>
      <color rgb="FF194B50"/>
      <color rgb="FF7E9D3D"/>
      <color rgb="FFDEE2A6"/>
      <color rgb="FFE1EB9E"/>
      <color rgb="FFFCFEF0"/>
      <color rgb="FFCFDB51"/>
      <color rgb="FF469C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se">
  <a:themeElements>
    <a:clrScheme name="Base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e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e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S95"/>
  <sheetViews>
    <sheetView showGridLines="0" showZeros="0" tabSelected="1" showWhiteSpace="0" zoomScale="80" zoomScaleNormal="80" zoomScaleSheetLayoutView="55" zoomScalePageLayoutView="110" workbookViewId="0">
      <pane xSplit="2" ySplit="8" topLeftCell="C9" activePane="bottomRight" state="frozen"/>
      <selection pane="topRight" activeCell="E1" sqref="E1"/>
      <selection pane="bottomLeft" activeCell="A7" sqref="A7"/>
      <selection pane="bottomRight" activeCell="G22" sqref="G22"/>
    </sheetView>
  </sheetViews>
  <sheetFormatPr defaultColWidth="9.21875" defaultRowHeight="13.8" x14ac:dyDescent="0.3"/>
  <cols>
    <col min="1" max="1" width="2.6640625" style="21" customWidth="1"/>
    <col min="2" max="2" width="15.77734375" style="58" customWidth="1"/>
    <col min="3" max="3" width="71.33203125" style="59" customWidth="1"/>
    <col min="4" max="4" width="8.44140625" style="58" hidden="1" customWidth="1"/>
    <col min="5" max="6" width="12.6640625" style="60" customWidth="1"/>
    <col min="7" max="7" width="10.6640625" style="60" customWidth="1"/>
    <col min="8" max="15" width="12.6640625" style="60" customWidth="1"/>
    <col min="16" max="16" width="8.88671875" style="21" customWidth="1"/>
    <col min="17" max="17" width="5.6640625" style="21" customWidth="1"/>
    <col min="18" max="16384" width="9.21875" style="21"/>
  </cols>
  <sheetData>
    <row r="1" spans="2:19" ht="15" customHeight="1" x14ac:dyDescent="0.3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2:19" ht="15" customHeight="1" x14ac:dyDescent="0.3">
      <c r="B2" s="83" t="s">
        <v>173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2:19" ht="15" customHeight="1" x14ac:dyDescent="0.3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2:19" s="22" customFormat="1" ht="15" customHeight="1" x14ac:dyDescent="0.3">
      <c r="I4" s="86"/>
      <c r="O4" s="23" t="s">
        <v>176</v>
      </c>
    </row>
    <row r="5" spans="2:19" ht="30" customHeight="1" x14ac:dyDescent="0.3">
      <c r="B5" s="91" t="s">
        <v>106</v>
      </c>
      <c r="C5" s="91" t="s">
        <v>102</v>
      </c>
      <c r="D5" s="91" t="s">
        <v>0</v>
      </c>
      <c r="E5" s="94" t="s">
        <v>133</v>
      </c>
      <c r="F5" s="94"/>
      <c r="G5" s="95" t="s">
        <v>100</v>
      </c>
      <c r="H5" s="97"/>
      <c r="I5" s="96"/>
      <c r="J5" s="95" t="s">
        <v>134</v>
      </c>
      <c r="K5" s="96"/>
      <c r="L5" s="95" t="s">
        <v>101</v>
      </c>
      <c r="M5" s="97"/>
      <c r="N5" s="97"/>
      <c r="O5" s="96"/>
      <c r="P5" s="24"/>
    </row>
    <row r="6" spans="2:19" s="26" customFormat="1" ht="30" customHeight="1" x14ac:dyDescent="0.3">
      <c r="B6" s="92"/>
      <c r="C6" s="92"/>
      <c r="D6" s="92"/>
      <c r="E6" s="5" t="s">
        <v>170</v>
      </c>
      <c r="F6" s="5" t="s">
        <v>1</v>
      </c>
      <c r="G6" s="102" t="s">
        <v>2</v>
      </c>
      <c r="H6" s="5" t="s">
        <v>170</v>
      </c>
      <c r="I6" s="5" t="s">
        <v>1</v>
      </c>
      <c r="J6" s="5" t="s">
        <v>170</v>
      </c>
      <c r="K6" s="5" t="s">
        <v>1</v>
      </c>
      <c r="L6" s="88" t="s">
        <v>136</v>
      </c>
      <c r="M6" s="89"/>
      <c r="N6" s="88" t="s">
        <v>137</v>
      </c>
      <c r="O6" s="89"/>
      <c r="P6" s="25"/>
    </row>
    <row r="7" spans="2:19" s="26" customFormat="1" ht="35.25" customHeight="1" x14ac:dyDescent="0.3">
      <c r="B7" s="92"/>
      <c r="C7" s="92"/>
      <c r="D7" s="92"/>
      <c r="E7" s="90" t="s">
        <v>120</v>
      </c>
      <c r="F7" s="90"/>
      <c r="G7" s="103"/>
      <c r="H7" s="90" t="s">
        <v>120</v>
      </c>
      <c r="I7" s="90"/>
      <c r="J7" s="90" t="s">
        <v>120</v>
      </c>
      <c r="K7" s="90"/>
      <c r="L7" s="5" t="s">
        <v>168</v>
      </c>
      <c r="M7" s="5" t="s">
        <v>121</v>
      </c>
      <c r="N7" s="5" t="s">
        <v>168</v>
      </c>
      <c r="O7" s="5" t="s">
        <v>121</v>
      </c>
      <c r="P7" s="25"/>
    </row>
    <row r="8" spans="2:19" s="26" customFormat="1" ht="15" customHeight="1" x14ac:dyDescent="0.3">
      <c r="B8" s="93"/>
      <c r="C8" s="93"/>
      <c r="D8" s="93"/>
      <c r="E8" s="27" t="s">
        <v>122</v>
      </c>
      <c r="F8" s="27" t="s">
        <v>123</v>
      </c>
      <c r="G8" s="27" t="s">
        <v>124</v>
      </c>
      <c r="H8" s="27" t="s">
        <v>125</v>
      </c>
      <c r="I8" s="27" t="s">
        <v>126</v>
      </c>
      <c r="J8" s="27" t="s">
        <v>127</v>
      </c>
      <c r="K8" s="27" t="s">
        <v>128</v>
      </c>
      <c r="L8" s="27" t="s">
        <v>129</v>
      </c>
      <c r="M8" s="27" t="s">
        <v>130</v>
      </c>
      <c r="N8" s="27" t="s">
        <v>132</v>
      </c>
      <c r="O8" s="27" t="s">
        <v>131</v>
      </c>
      <c r="P8" s="25"/>
    </row>
    <row r="9" spans="2:19" s="26" customFormat="1" ht="5.0999999999999996" customHeight="1" x14ac:dyDescent="0.3">
      <c r="B9" s="28"/>
      <c r="C9" s="28"/>
      <c r="D9" s="2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5"/>
    </row>
    <row r="10" spans="2:19" s="34" customFormat="1" ht="30" customHeight="1" x14ac:dyDescent="0.3">
      <c r="B10" s="30" t="s">
        <v>99</v>
      </c>
      <c r="C10" s="31"/>
      <c r="D10" s="32"/>
      <c r="E10" s="6">
        <f>E12+E72</f>
        <v>2942034.337489998</v>
      </c>
      <c r="F10" s="6">
        <f t="shared" ref="F10:K10" si="0">F12+F72</f>
        <v>1898033.764491224</v>
      </c>
      <c r="G10" s="6">
        <f>G12+G72</f>
        <v>355449</v>
      </c>
      <c r="H10" s="6">
        <f t="shared" si="0"/>
        <v>1574980.5610268002</v>
      </c>
      <c r="I10" s="6">
        <f t="shared" si="0"/>
        <v>1087980.1037220063</v>
      </c>
      <c r="J10" s="6">
        <f t="shared" si="0"/>
        <v>274762.50115999964</v>
      </c>
      <c r="K10" s="6">
        <f t="shared" si="0"/>
        <v>207512.36117000092</v>
      </c>
      <c r="L10" s="33">
        <f>+H10/E10</f>
        <v>0.53533724639342506</v>
      </c>
      <c r="M10" s="33">
        <f>+I10/F10</f>
        <v>0.57321430423217157</v>
      </c>
      <c r="N10" s="33">
        <f>+J10/E10</f>
        <v>9.3392010303460213E-2</v>
      </c>
      <c r="O10" s="33">
        <f>+K10/F10</f>
        <v>0.10933017370511609</v>
      </c>
      <c r="P10" s="7"/>
      <c r="R10" s="87"/>
      <c r="S10" s="87"/>
    </row>
    <row r="11" spans="2:19" s="26" customFormat="1" ht="5.0999999999999996" customHeight="1" x14ac:dyDescent="0.3">
      <c r="B11" s="28"/>
      <c r="C11" s="28"/>
      <c r="D11" s="2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5"/>
    </row>
    <row r="12" spans="2:19" s="36" customFormat="1" ht="30" customHeight="1" x14ac:dyDescent="0.3">
      <c r="B12" s="14" t="s">
        <v>165</v>
      </c>
      <c r="C12" s="8"/>
      <c r="D12" s="9"/>
      <c r="E12" s="10">
        <f t="shared" ref="E12:K12" si="1">E14+E31+E41+E55+E65</f>
        <v>2559010.3062299979</v>
      </c>
      <c r="F12" s="10">
        <f t="shared" si="1"/>
        <v>1650350.0921028825</v>
      </c>
      <c r="G12" s="10">
        <f>G14+G31+G41+G55+G65</f>
        <v>347129</v>
      </c>
      <c r="H12" s="10">
        <f t="shared" si="1"/>
        <v>1447806.3798468001</v>
      </c>
      <c r="I12" s="10">
        <f t="shared" si="1"/>
        <v>997296.19142800628</v>
      </c>
      <c r="J12" s="10">
        <f t="shared" si="1"/>
        <v>239131.46719999966</v>
      </c>
      <c r="K12" s="10">
        <f t="shared" si="1"/>
        <v>180908.65193000092</v>
      </c>
      <c r="L12" s="35">
        <f>+H12/E12</f>
        <v>0.56576809257941096</v>
      </c>
      <c r="M12" s="35">
        <f>+I12/F12</f>
        <v>0.60429371695144252</v>
      </c>
      <c r="N12" s="35">
        <f>+J12/E12</f>
        <v>9.3446855848069832E-2</v>
      </c>
      <c r="O12" s="35">
        <f>+K12/F12</f>
        <v>0.1096183487344109</v>
      </c>
      <c r="P12" s="7"/>
    </row>
    <row r="13" spans="2:19" s="26" customFormat="1" ht="5.0999999999999996" customHeight="1" x14ac:dyDescent="0.3">
      <c r="B13" s="29"/>
      <c r="C13" s="29"/>
      <c r="D13" s="2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5"/>
    </row>
    <row r="14" spans="2:19" s="36" customFormat="1" ht="20.100000000000001" customHeight="1" x14ac:dyDescent="0.3">
      <c r="B14" s="62" t="s">
        <v>107</v>
      </c>
      <c r="C14" s="37"/>
      <c r="D14" s="38"/>
      <c r="E14" s="11">
        <f>+E15+E28</f>
        <v>1688350.5862299984</v>
      </c>
      <c r="F14" s="11">
        <f t="shared" ref="F14:K14" si="2">+F15+F28</f>
        <v>1119247.1225089999</v>
      </c>
      <c r="G14" s="11">
        <f>+G15+G28</f>
        <v>340254</v>
      </c>
      <c r="H14" s="11">
        <f t="shared" si="2"/>
        <v>1364227.0006868001</v>
      </c>
      <c r="I14" s="11">
        <f t="shared" si="2"/>
        <v>941977.50888676103</v>
      </c>
      <c r="J14" s="11">
        <f t="shared" si="2"/>
        <v>208944.15691999966</v>
      </c>
      <c r="K14" s="11">
        <f t="shared" si="2"/>
        <v>157942.13905000093</v>
      </c>
      <c r="L14" s="39">
        <f>+H14/E14</f>
        <v>0.80802353007324745</v>
      </c>
      <c r="M14" s="39">
        <f>+I14/F14</f>
        <v>0.84161709236754068</v>
      </c>
      <c r="N14" s="40">
        <f>+J14/E14</f>
        <v>0.12375638011685797</v>
      </c>
      <c r="O14" s="40">
        <f>+K14/F14</f>
        <v>0.14111462596030119</v>
      </c>
      <c r="P14" s="7"/>
    </row>
    <row r="15" spans="2:19" s="82" customFormat="1" ht="15" customHeight="1" x14ac:dyDescent="0.3">
      <c r="B15" s="72" t="s">
        <v>112</v>
      </c>
      <c r="C15" s="78"/>
      <c r="D15" s="79"/>
      <c r="E15" s="75">
        <f>+SUM(E16:E27)</f>
        <v>1162810.5872499985</v>
      </c>
      <c r="F15" s="75">
        <f t="shared" ref="F15:K15" si="3">+SUM(F16:F27)</f>
        <v>824269.12306999997</v>
      </c>
      <c r="G15" s="75">
        <f>+SUM(G16:G27)</f>
        <v>195373</v>
      </c>
      <c r="H15" s="75">
        <f t="shared" si="3"/>
        <v>1185744.2246868</v>
      </c>
      <c r="I15" s="75">
        <f t="shared" si="3"/>
        <v>841702.18648676109</v>
      </c>
      <c r="J15" s="75">
        <f t="shared" si="3"/>
        <v>208944.15691999966</v>
      </c>
      <c r="K15" s="75">
        <f t="shared" si="3"/>
        <v>157942.13905000093</v>
      </c>
      <c r="L15" s="81">
        <f>+H15/E15</f>
        <v>1.0197225908400427</v>
      </c>
      <c r="M15" s="81">
        <f>+I15/F15</f>
        <v>1.0211497227408344</v>
      </c>
      <c r="N15" s="76">
        <f>+J15/E15</f>
        <v>0.17968890136625296</v>
      </c>
      <c r="O15" s="76">
        <f>+K15/F15</f>
        <v>0.19161477074592287</v>
      </c>
      <c r="P15" s="77"/>
    </row>
    <row r="16" spans="2:19" ht="15" customHeight="1" x14ac:dyDescent="0.3">
      <c r="B16" s="41" t="s">
        <v>3</v>
      </c>
      <c r="C16" s="3" t="s">
        <v>4</v>
      </c>
      <c r="D16" s="101" t="s">
        <v>5</v>
      </c>
      <c r="E16" s="4">
        <v>3091.9630499999994</v>
      </c>
      <c r="F16" s="4">
        <v>2220.649328</v>
      </c>
      <c r="G16" s="4">
        <v>183</v>
      </c>
      <c r="H16" s="4">
        <v>2794.6395660000003</v>
      </c>
      <c r="I16" s="4">
        <f>K16+((H16-J16)*0.7)</f>
        <v>2019.8440622000003</v>
      </c>
      <c r="J16" s="4">
        <v>1210.1267199999998</v>
      </c>
      <c r="K16" s="4">
        <v>910.68507</v>
      </c>
      <c r="L16" s="42">
        <f t="shared" ref="L16:L25" si="4">+H16/E16</f>
        <v>0.90383989743991311</v>
      </c>
      <c r="M16" s="42">
        <f t="shared" ref="M16:M25" si="5">+I16/F16</f>
        <v>0.90957362638573269</v>
      </c>
      <c r="N16" s="42">
        <f t="shared" ref="N16:N25" si="6">+J16/E16</f>
        <v>0.39137813111964581</v>
      </c>
      <c r="O16" s="42">
        <f t="shared" ref="O16:O25" si="7">+K16/F16</f>
        <v>0.41009855023809505</v>
      </c>
    </row>
    <row r="17" spans="2:15" ht="15" customHeight="1" x14ac:dyDescent="0.3">
      <c r="B17" s="43" t="s">
        <v>6</v>
      </c>
      <c r="C17" s="3" t="s">
        <v>7</v>
      </c>
      <c r="D17" s="101"/>
      <c r="E17" s="4">
        <v>66993.072200000141</v>
      </c>
      <c r="F17" s="4">
        <v>48211.755782000073</v>
      </c>
      <c r="G17" s="4">
        <v>6667</v>
      </c>
      <c r="H17" s="4">
        <v>66037.155115250003</v>
      </c>
      <c r="I17" s="4">
        <f t="shared" ref="I17:I23" si="8">K17+((H17-J17)*0.7)</f>
        <v>47722.493330674988</v>
      </c>
      <c r="J17" s="4">
        <v>26488.177500000038</v>
      </c>
      <c r="K17" s="4">
        <v>20038.209000000013</v>
      </c>
      <c r="L17" s="42">
        <f t="shared" si="4"/>
        <v>0.98573110542092535</v>
      </c>
      <c r="M17" s="42">
        <f t="shared" si="5"/>
        <v>0.98985180183983779</v>
      </c>
      <c r="N17" s="42">
        <f t="shared" si="6"/>
        <v>0.39538681583257773</v>
      </c>
      <c r="O17" s="42">
        <f t="shared" si="7"/>
        <v>0.41562910694659472</v>
      </c>
    </row>
    <row r="18" spans="2:15" ht="15" customHeight="1" x14ac:dyDescent="0.3">
      <c r="B18" s="43" t="s">
        <v>8</v>
      </c>
      <c r="C18" s="3" t="s">
        <v>9</v>
      </c>
      <c r="D18" s="101"/>
      <c r="E18" s="4">
        <v>15654.907349999987</v>
      </c>
      <c r="F18" s="4">
        <v>11271.531845999993</v>
      </c>
      <c r="G18" s="4">
        <v>713</v>
      </c>
      <c r="H18" s="4">
        <v>16531.28973335</v>
      </c>
      <c r="I18" s="4">
        <f t="shared" si="8"/>
        <v>11921.968428345004</v>
      </c>
      <c r="J18" s="4">
        <v>6109.1876499999944</v>
      </c>
      <c r="K18" s="4">
        <v>4626.4969699999992</v>
      </c>
      <c r="L18" s="42">
        <f t="shared" si="4"/>
        <v>1.0559813203461734</v>
      </c>
      <c r="M18" s="42">
        <f t="shared" si="5"/>
        <v>1.0577061389021258</v>
      </c>
      <c r="N18" s="42">
        <f t="shared" si="6"/>
        <v>0.39024106073677911</v>
      </c>
      <c r="O18" s="42">
        <f t="shared" si="7"/>
        <v>0.41045858124792828</v>
      </c>
    </row>
    <row r="19" spans="2:15" ht="15" customHeight="1" x14ac:dyDescent="0.3">
      <c r="B19" s="43" t="s">
        <v>10</v>
      </c>
      <c r="C19" s="3" t="s">
        <v>11</v>
      </c>
      <c r="D19" s="101"/>
      <c r="E19" s="4">
        <v>37163.891199999984</v>
      </c>
      <c r="F19" s="4">
        <v>26750.351801999983</v>
      </c>
      <c r="G19" s="4">
        <v>1195</v>
      </c>
      <c r="H19" s="4">
        <v>37009.416419000001</v>
      </c>
      <c r="I19" s="4">
        <f t="shared" si="8"/>
        <v>26734.578247300011</v>
      </c>
      <c r="J19" s="4">
        <v>14550.967579999988</v>
      </c>
      <c r="K19" s="4">
        <v>11013.664060000005</v>
      </c>
      <c r="L19" s="42">
        <f t="shared" si="4"/>
        <v>0.9958434174675449</v>
      </c>
      <c r="M19" s="42">
        <f t="shared" si="5"/>
        <v>0.99941034215861069</v>
      </c>
      <c r="N19" s="42">
        <f t="shared" si="6"/>
        <v>0.39153509253627333</v>
      </c>
      <c r="O19" s="42">
        <f t="shared" si="7"/>
        <v>0.41172034452184553</v>
      </c>
    </row>
    <row r="20" spans="2:15" ht="15" customHeight="1" x14ac:dyDescent="0.3">
      <c r="B20" s="41" t="s">
        <v>12</v>
      </c>
      <c r="C20" s="3" t="s">
        <v>13</v>
      </c>
      <c r="D20" s="101"/>
      <c r="E20" s="4">
        <v>53423.876249999899</v>
      </c>
      <c r="F20" s="4">
        <v>38464.694109999953</v>
      </c>
      <c r="G20" s="4">
        <v>8545</v>
      </c>
      <c r="H20" s="4">
        <v>59012.801545699986</v>
      </c>
      <c r="I20" s="4">
        <f t="shared" si="8"/>
        <v>42487.376672990024</v>
      </c>
      <c r="J20" s="4">
        <v>21073.815569999984</v>
      </c>
      <c r="K20" s="4">
        <v>15930.086490000022</v>
      </c>
      <c r="L20" s="42">
        <f t="shared" si="4"/>
        <v>1.104614746963444</v>
      </c>
      <c r="M20" s="42">
        <f t="shared" si="5"/>
        <v>1.1045811660814497</v>
      </c>
      <c r="N20" s="42">
        <f t="shared" si="6"/>
        <v>0.39446436779285599</v>
      </c>
      <c r="O20" s="42">
        <f t="shared" si="7"/>
        <v>0.41414826917494085</v>
      </c>
    </row>
    <row r="21" spans="2:15" ht="15" customHeight="1" x14ac:dyDescent="0.3">
      <c r="B21" s="43" t="s">
        <v>14</v>
      </c>
      <c r="C21" s="3" t="s">
        <v>15</v>
      </c>
      <c r="D21" s="101"/>
      <c r="E21" s="4">
        <v>115667.72855000031</v>
      </c>
      <c r="F21" s="4">
        <v>83278.563048000273</v>
      </c>
      <c r="G21" s="4">
        <v>34883</v>
      </c>
      <c r="H21" s="4">
        <v>118428.89895750002</v>
      </c>
      <c r="I21" s="4">
        <f t="shared" si="8"/>
        <v>85521.617534250137</v>
      </c>
      <c r="J21" s="4">
        <v>45937.920979999988</v>
      </c>
      <c r="K21" s="4">
        <v>34777.932950000111</v>
      </c>
      <c r="L21" s="42">
        <f t="shared" si="4"/>
        <v>1.0238715711124744</v>
      </c>
      <c r="M21" s="42">
        <f t="shared" si="5"/>
        <v>1.0269343562635322</v>
      </c>
      <c r="N21" s="42">
        <f t="shared" si="6"/>
        <v>0.39715417217812971</v>
      </c>
      <c r="O21" s="42">
        <f t="shared" si="7"/>
        <v>0.41760966660717636</v>
      </c>
    </row>
    <row r="22" spans="2:15" ht="15" customHeight="1" x14ac:dyDescent="0.3">
      <c r="B22" s="43" t="s">
        <v>16</v>
      </c>
      <c r="C22" s="3" t="s">
        <v>17</v>
      </c>
      <c r="D22" s="101"/>
      <c r="E22" s="4">
        <v>159881.48029999816</v>
      </c>
      <c r="F22" s="4">
        <v>115110.7161379998</v>
      </c>
      <c r="G22" s="4">
        <v>93784</v>
      </c>
      <c r="H22" s="4">
        <v>162949.46834999998</v>
      </c>
      <c r="I22" s="4">
        <f t="shared" si="8"/>
        <v>117685.82054400104</v>
      </c>
      <c r="J22" s="4">
        <v>63189.740429999678</v>
      </c>
      <c r="K22" s="4">
        <v>47854.011000000835</v>
      </c>
      <c r="L22" s="42">
        <f t="shared" si="4"/>
        <v>1.0191891396317141</v>
      </c>
      <c r="M22" s="42">
        <f t="shared" si="5"/>
        <v>1.0223706748806436</v>
      </c>
      <c r="N22" s="42">
        <f t="shared" si="6"/>
        <v>0.39522864256342766</v>
      </c>
      <c r="O22" s="42">
        <f t="shared" si="7"/>
        <v>0.4157215992178464</v>
      </c>
    </row>
    <row r="23" spans="2:15" ht="15" customHeight="1" x14ac:dyDescent="0.3">
      <c r="B23" s="43" t="s">
        <v>18</v>
      </c>
      <c r="C23" s="3" t="s">
        <v>19</v>
      </c>
      <c r="D23" s="101"/>
      <c r="E23" s="4">
        <v>83856.533349999954</v>
      </c>
      <c r="F23" s="4">
        <v>60006.866515999922</v>
      </c>
      <c r="G23" s="4">
        <v>14143</v>
      </c>
      <c r="H23" s="4">
        <v>92297.12</v>
      </c>
      <c r="I23" s="4">
        <f t="shared" si="8"/>
        <v>66089.26710199994</v>
      </c>
      <c r="J23" s="4">
        <v>27383.459139999988</v>
      </c>
      <c r="K23" s="4">
        <v>20649.704499999945</v>
      </c>
      <c r="L23" s="42">
        <f t="shared" si="4"/>
        <v>1.1006550868823872</v>
      </c>
      <c r="M23" s="42">
        <f t="shared" si="5"/>
        <v>1.101361743066158</v>
      </c>
      <c r="N23" s="42">
        <f t="shared" si="6"/>
        <v>0.32655128999558153</v>
      </c>
      <c r="O23" s="42">
        <f t="shared" si="7"/>
        <v>0.34412235963852594</v>
      </c>
    </row>
    <row r="24" spans="2:15" ht="15" customHeight="1" x14ac:dyDescent="0.3">
      <c r="B24" s="43" t="s">
        <v>20</v>
      </c>
      <c r="C24" s="3" t="s">
        <v>169</v>
      </c>
      <c r="D24" s="101"/>
      <c r="E24" s="4">
        <v>37010</v>
      </c>
      <c r="F24" s="4">
        <v>25907</v>
      </c>
      <c r="G24" s="4">
        <v>0</v>
      </c>
      <c r="H24" s="4"/>
      <c r="I24" s="4">
        <f>K24+(H24-J24)*0.7</f>
        <v>0</v>
      </c>
      <c r="J24" s="4">
        <v>0</v>
      </c>
      <c r="K24" s="4">
        <v>0</v>
      </c>
      <c r="L24" s="44">
        <f t="shared" si="4"/>
        <v>0</v>
      </c>
      <c r="M24" s="44">
        <f t="shared" si="5"/>
        <v>0</v>
      </c>
      <c r="N24" s="44">
        <f t="shared" si="6"/>
        <v>0</v>
      </c>
      <c r="O24" s="44">
        <f t="shared" si="7"/>
        <v>0</v>
      </c>
    </row>
    <row r="25" spans="2:15" ht="15" customHeight="1" x14ac:dyDescent="0.3">
      <c r="B25" s="43" t="s">
        <v>21</v>
      </c>
      <c r="C25" s="3" t="s">
        <v>22</v>
      </c>
      <c r="D25" s="101"/>
      <c r="E25" s="4">
        <v>20067.134999999998</v>
      </c>
      <c r="F25" s="4">
        <v>14046.994500000001</v>
      </c>
      <c r="G25" s="45">
        <v>4606</v>
      </c>
      <c r="H25" s="4">
        <v>9929.3610000000008</v>
      </c>
      <c r="I25" s="4">
        <f>K25+(H25-J25)*0.7</f>
        <v>6991.3687649999993</v>
      </c>
      <c r="J25" s="4">
        <v>3000.7613500000002</v>
      </c>
      <c r="K25" s="4">
        <v>2141.3490099999999</v>
      </c>
      <c r="L25" s="44">
        <f t="shared" si="4"/>
        <v>0.49480710624610846</v>
      </c>
      <c r="M25" s="44">
        <f t="shared" si="5"/>
        <v>0.49771278582048273</v>
      </c>
      <c r="N25" s="44">
        <f t="shared" si="6"/>
        <v>0.14953611215552198</v>
      </c>
      <c r="O25" s="44">
        <f t="shared" si="7"/>
        <v>0.15244179172989636</v>
      </c>
    </row>
    <row r="26" spans="2:15" ht="15" customHeight="1" x14ac:dyDescent="0.3">
      <c r="B26" s="43" t="s">
        <v>156</v>
      </c>
      <c r="C26" s="3" t="s">
        <v>157</v>
      </c>
      <c r="D26" s="101"/>
      <c r="E26" s="4">
        <v>210000</v>
      </c>
      <c r="F26" s="4">
        <v>147000</v>
      </c>
      <c r="G26" s="4">
        <v>12673</v>
      </c>
      <c r="H26" s="4">
        <v>228882.68100000001</v>
      </c>
      <c r="I26" s="4">
        <f t="shared" ref="I26" si="9">K26+((H26-J26)*0.7)</f>
        <v>160217.87669999999</v>
      </c>
      <c r="J26" s="4"/>
      <c r="K26" s="84"/>
      <c r="L26" s="44">
        <f t="shared" ref="L26:L27" si="10">+H26/E26</f>
        <v>1.0899175285714287</v>
      </c>
      <c r="M26" s="44">
        <f t="shared" ref="M26:M27" si="11">+I26/F26</f>
        <v>1.0899175285714284</v>
      </c>
      <c r="N26" s="44">
        <f t="shared" ref="N26:N27" si="12">+J26/E26</f>
        <v>0</v>
      </c>
      <c r="O26" s="44">
        <f t="shared" ref="O26:O27" si="13">+K26/F26</f>
        <v>0</v>
      </c>
    </row>
    <row r="27" spans="2:15" ht="15" customHeight="1" x14ac:dyDescent="0.3">
      <c r="B27" s="43" t="s">
        <v>158</v>
      </c>
      <c r="C27" s="3" t="s">
        <v>175</v>
      </c>
      <c r="D27" s="101"/>
      <c r="E27" s="4">
        <v>360000</v>
      </c>
      <c r="F27" s="4">
        <v>251999.99999999997</v>
      </c>
      <c r="G27" s="4">
        <v>17981</v>
      </c>
      <c r="H27" s="4">
        <v>391871.39299999998</v>
      </c>
      <c r="I27" s="4">
        <f t="shared" ref="I27" si="14">K27+((H27-J27)*0.7)</f>
        <v>274309.97509999998</v>
      </c>
      <c r="J27" s="4"/>
      <c r="K27" s="4"/>
      <c r="L27" s="44">
        <f t="shared" si="10"/>
        <v>1.0885316472222222</v>
      </c>
      <c r="M27" s="44">
        <f t="shared" si="11"/>
        <v>1.0885316472222222</v>
      </c>
      <c r="N27" s="44">
        <f t="shared" si="12"/>
        <v>0</v>
      </c>
      <c r="O27" s="44">
        <f t="shared" si="13"/>
        <v>0</v>
      </c>
    </row>
    <row r="28" spans="2:15" s="77" customFormat="1" ht="15" customHeight="1" x14ac:dyDescent="0.3">
      <c r="B28" s="72" t="s">
        <v>113</v>
      </c>
      <c r="C28" s="73"/>
      <c r="D28" s="79"/>
      <c r="E28" s="75">
        <f>+SUM(E29:E30)</f>
        <v>525539.99897999992</v>
      </c>
      <c r="F28" s="75">
        <f t="shared" ref="F28:K28" si="15">+SUM(F29:F30)</f>
        <v>294977.99943899998</v>
      </c>
      <c r="G28" s="75">
        <f>+SUM(G29:G30)</f>
        <v>144881</v>
      </c>
      <c r="H28" s="75">
        <f>+SUM(H29:H30)</f>
        <v>178482.77600000001</v>
      </c>
      <c r="I28" s="75">
        <f t="shared" si="15"/>
        <v>100275.3224</v>
      </c>
      <c r="J28" s="75">
        <f t="shared" si="15"/>
        <v>0</v>
      </c>
      <c r="K28" s="75">
        <f t="shared" si="15"/>
        <v>0</v>
      </c>
      <c r="L28" s="76">
        <f>+H28/E28</f>
        <v>0.3396178718012145</v>
      </c>
      <c r="M28" s="76">
        <f>+I28/F28</f>
        <v>0.33994169934946777</v>
      </c>
      <c r="N28" s="76">
        <f>+J28/E28</f>
        <v>0</v>
      </c>
      <c r="O28" s="76">
        <f>+K28/F28</f>
        <v>0</v>
      </c>
    </row>
    <row r="29" spans="2:15" ht="15" customHeight="1" x14ac:dyDescent="0.3">
      <c r="B29" s="43" t="s">
        <v>23</v>
      </c>
      <c r="C29" s="3" t="s">
        <v>24</v>
      </c>
      <c r="D29" s="2" t="s">
        <v>25</v>
      </c>
      <c r="E29" s="4">
        <v>485999.99897999997</v>
      </c>
      <c r="F29" s="4">
        <v>267299.99943899998</v>
      </c>
      <c r="G29" s="4">
        <v>134322</v>
      </c>
      <c r="H29" s="4">
        <v>164417.47200000001</v>
      </c>
      <c r="I29" s="4">
        <f>K29+((H29-J29)*0.55)</f>
        <v>90429.609600000011</v>
      </c>
      <c r="J29" s="4">
        <v>0</v>
      </c>
      <c r="K29" s="4">
        <v>0</v>
      </c>
      <c r="L29" s="42">
        <f t="shared" ref="L29:M35" si="16">+H29/E29</f>
        <v>0.33830755626558379</v>
      </c>
      <c r="M29" s="42">
        <f t="shared" si="16"/>
        <v>0.33830755626558384</v>
      </c>
      <c r="N29" s="44">
        <f t="shared" ref="N29:N30" si="17">+J29/E29</f>
        <v>0</v>
      </c>
      <c r="O29" s="44">
        <f t="shared" ref="O29:O30" si="18">+K29/F29</f>
        <v>0</v>
      </c>
    </row>
    <row r="30" spans="2:15" ht="15" customHeight="1" x14ac:dyDescent="0.3">
      <c r="B30" s="43" t="s">
        <v>26</v>
      </c>
      <c r="C30" s="3" t="s">
        <v>27</v>
      </c>
      <c r="D30" s="2" t="s">
        <v>28</v>
      </c>
      <c r="E30" s="4">
        <v>39540</v>
      </c>
      <c r="F30" s="4">
        <v>27678</v>
      </c>
      <c r="G30" s="4">
        <v>10559</v>
      </c>
      <c r="H30" s="4">
        <v>14065.304</v>
      </c>
      <c r="I30" s="4">
        <f t="shared" ref="I30" si="19">K30+((H30-J30)*0.7)</f>
        <v>9845.7127999999993</v>
      </c>
      <c r="J30" s="4">
        <v>0</v>
      </c>
      <c r="K30" s="4">
        <v>0</v>
      </c>
      <c r="L30" s="42">
        <f t="shared" si="16"/>
        <v>0.35572341932220536</v>
      </c>
      <c r="M30" s="42">
        <f t="shared" si="16"/>
        <v>0.35572341932220536</v>
      </c>
      <c r="N30" s="44">
        <f t="shared" si="17"/>
        <v>0</v>
      </c>
      <c r="O30" s="44">
        <f t="shared" si="18"/>
        <v>0</v>
      </c>
    </row>
    <row r="31" spans="2:15" s="7" customFormat="1" ht="20.100000000000001" customHeight="1" x14ac:dyDescent="0.3">
      <c r="B31" s="62" t="s">
        <v>166</v>
      </c>
      <c r="C31" s="37"/>
      <c r="D31" s="46"/>
      <c r="E31" s="11">
        <f>+E32+E37</f>
        <v>505420.64009999996</v>
      </c>
      <c r="F31" s="11">
        <f t="shared" ref="F31:K31" si="20">+F32+F37</f>
        <v>304750.85380993853</v>
      </c>
      <c r="G31" s="11">
        <f>+G32+G37</f>
        <v>298</v>
      </c>
      <c r="H31" s="11">
        <f t="shared" si="20"/>
        <v>39545.201509999977</v>
      </c>
      <c r="I31" s="11">
        <f t="shared" si="20"/>
        <v>23760.419249048289</v>
      </c>
      <c r="J31" s="11">
        <f t="shared" si="20"/>
        <v>0</v>
      </c>
      <c r="K31" s="11">
        <f t="shared" si="20"/>
        <v>0</v>
      </c>
      <c r="L31" s="40">
        <f>+H31/E31</f>
        <v>7.8242157863152889E-2</v>
      </c>
      <c r="M31" s="40">
        <f>+I31/F31</f>
        <v>7.7966702806571156E-2</v>
      </c>
      <c r="N31" s="40">
        <f>+J31/E31</f>
        <v>0</v>
      </c>
      <c r="O31" s="40">
        <f>+K31/F31</f>
        <v>0</v>
      </c>
    </row>
    <row r="32" spans="2:15" s="77" customFormat="1" ht="15" customHeight="1" x14ac:dyDescent="0.3">
      <c r="B32" s="72" t="s">
        <v>114</v>
      </c>
      <c r="C32" s="78"/>
      <c r="D32" s="74"/>
      <c r="E32" s="75">
        <f>+SUM(E33:E36)</f>
        <v>260369.56873999999</v>
      </c>
      <c r="F32" s="75">
        <f t="shared" ref="F32:K32" si="21">+SUM(F33:F36)</f>
        <v>157513.87006244416</v>
      </c>
      <c r="G32" s="75">
        <f t="shared" si="21"/>
        <v>298</v>
      </c>
      <c r="H32" s="75">
        <f t="shared" si="21"/>
        <v>39545.201509999977</v>
      </c>
      <c r="I32" s="75">
        <f t="shared" si="21"/>
        <v>23760.419249048289</v>
      </c>
      <c r="J32" s="75">
        <f t="shared" si="21"/>
        <v>0</v>
      </c>
      <c r="K32" s="75">
        <f t="shared" si="21"/>
        <v>0</v>
      </c>
      <c r="L32" s="76">
        <f t="shared" ref="L32" si="22">+H32/E32</f>
        <v>0.15188104240203681</v>
      </c>
      <c r="M32" s="76">
        <f t="shared" ref="M32" si="23">+I32/F32</f>
        <v>0.15084652062468407</v>
      </c>
      <c r="N32" s="76">
        <f t="shared" ref="N32" si="24">+J32/E32</f>
        <v>0</v>
      </c>
      <c r="O32" s="76">
        <f t="shared" ref="O32" si="25">+K32/F32</f>
        <v>0</v>
      </c>
    </row>
    <row r="33" spans="2:15" ht="15" customHeight="1" x14ac:dyDescent="0.3">
      <c r="B33" s="43" t="s">
        <v>29</v>
      </c>
      <c r="C33" s="3" t="s">
        <v>30</v>
      </c>
      <c r="D33" s="101" t="s">
        <v>31</v>
      </c>
      <c r="E33" s="4">
        <v>168443.9</v>
      </c>
      <c r="F33" s="4">
        <v>101208.17521433979</v>
      </c>
      <c r="G33" s="45">
        <v>13</v>
      </c>
      <c r="H33" s="4">
        <v>1834.8025</v>
      </c>
      <c r="I33" s="4">
        <f>K33+((H33-J33)/(E33/F33))</f>
        <v>1102.4264630758887</v>
      </c>
      <c r="J33" s="4">
        <v>0</v>
      </c>
      <c r="K33" s="4">
        <v>0</v>
      </c>
      <c r="L33" s="44">
        <f t="shared" si="16"/>
        <v>1.0892662186045324E-2</v>
      </c>
      <c r="M33" s="44">
        <f t="shared" si="16"/>
        <v>1.0892662186045324E-2</v>
      </c>
      <c r="N33" s="44">
        <f t="shared" ref="N33:O35" si="26">+J33/E33</f>
        <v>0</v>
      </c>
      <c r="O33" s="44">
        <f t="shared" si="26"/>
        <v>0</v>
      </c>
    </row>
    <row r="34" spans="2:15" ht="15" customHeight="1" x14ac:dyDescent="0.3">
      <c r="B34" s="43" t="s">
        <v>32</v>
      </c>
      <c r="C34" s="3" t="s">
        <v>33</v>
      </c>
      <c r="D34" s="101"/>
      <c r="E34" s="4">
        <v>66019.398179999989</v>
      </c>
      <c r="F34" s="4">
        <v>39667.229384128441</v>
      </c>
      <c r="G34" s="45">
        <v>285</v>
      </c>
      <c r="H34" s="4">
        <v>37710.399009999979</v>
      </c>
      <c r="I34" s="4">
        <f>K34+((H34-J34)/(E34/F34))</f>
        <v>22657.992785972401</v>
      </c>
      <c r="J34" s="4">
        <v>0</v>
      </c>
      <c r="K34" s="4">
        <v>0</v>
      </c>
      <c r="L34" s="42">
        <f t="shared" si="16"/>
        <v>0.57120179901040091</v>
      </c>
      <c r="M34" s="42">
        <f t="shared" si="16"/>
        <v>0.57120179901040091</v>
      </c>
      <c r="N34" s="44">
        <f t="shared" si="26"/>
        <v>0</v>
      </c>
      <c r="O34" s="44">
        <f t="shared" si="26"/>
        <v>0</v>
      </c>
    </row>
    <row r="35" spans="2:15" ht="15" customHeight="1" x14ac:dyDescent="0.3">
      <c r="B35" s="43" t="s">
        <v>34</v>
      </c>
      <c r="C35" s="3" t="s">
        <v>35</v>
      </c>
      <c r="D35" s="101"/>
      <c r="E35" s="4">
        <v>10820</v>
      </c>
      <c r="F35" s="4">
        <v>7574</v>
      </c>
      <c r="G35" s="45">
        <v>0</v>
      </c>
      <c r="H35" s="4">
        <v>0</v>
      </c>
      <c r="I35" s="4">
        <f>K35+((H35-J35)*0.7)</f>
        <v>0</v>
      </c>
      <c r="J35" s="4">
        <v>0</v>
      </c>
      <c r="K35" s="4">
        <v>0</v>
      </c>
      <c r="L35" s="44">
        <f t="shared" si="16"/>
        <v>0</v>
      </c>
      <c r="M35" s="44">
        <f t="shared" si="16"/>
        <v>0</v>
      </c>
      <c r="N35" s="44">
        <f t="shared" si="26"/>
        <v>0</v>
      </c>
      <c r="O35" s="44">
        <f t="shared" si="26"/>
        <v>0</v>
      </c>
    </row>
    <row r="36" spans="2:15" ht="27.6" x14ac:dyDescent="0.3">
      <c r="B36" s="43" t="s">
        <v>159</v>
      </c>
      <c r="C36" s="3" t="s">
        <v>160</v>
      </c>
      <c r="D36" s="101"/>
      <c r="E36" s="4">
        <v>15086.270560000001</v>
      </c>
      <c r="F36" s="4">
        <v>9064.4654639759356</v>
      </c>
      <c r="G36" s="45">
        <v>0</v>
      </c>
      <c r="H36" s="4">
        <v>0</v>
      </c>
      <c r="I36" s="4">
        <f>K36+((H36-J36)/(E36/F36))</f>
        <v>0</v>
      </c>
      <c r="J36" s="4"/>
      <c r="K36" s="4"/>
      <c r="L36" s="44"/>
      <c r="M36" s="44"/>
      <c r="N36" s="44"/>
      <c r="O36" s="44"/>
    </row>
    <row r="37" spans="2:15" s="77" customFormat="1" ht="15" customHeight="1" x14ac:dyDescent="0.3">
      <c r="B37" s="72" t="s">
        <v>115</v>
      </c>
      <c r="C37" s="73"/>
      <c r="D37" s="79"/>
      <c r="E37" s="75">
        <f>+SUM(E38:E40)</f>
        <v>245051.07135999997</v>
      </c>
      <c r="F37" s="75">
        <f t="shared" ref="F37:O37" si="27">+SUM(F38:F40)</f>
        <v>147236.98374749435</v>
      </c>
      <c r="G37" s="75">
        <f t="shared" si="27"/>
        <v>0</v>
      </c>
      <c r="H37" s="75">
        <f t="shared" si="27"/>
        <v>0</v>
      </c>
      <c r="I37" s="75">
        <f t="shared" si="27"/>
        <v>0</v>
      </c>
      <c r="J37" s="75">
        <f t="shared" si="27"/>
        <v>0</v>
      </c>
      <c r="K37" s="75">
        <f t="shared" si="27"/>
        <v>0</v>
      </c>
      <c r="L37" s="75">
        <f t="shared" si="27"/>
        <v>0</v>
      </c>
      <c r="M37" s="75">
        <f t="shared" si="27"/>
        <v>0</v>
      </c>
      <c r="N37" s="75">
        <f t="shared" si="27"/>
        <v>0</v>
      </c>
      <c r="O37" s="75">
        <f t="shared" si="27"/>
        <v>0</v>
      </c>
    </row>
    <row r="38" spans="2:15" ht="15" customHeight="1" x14ac:dyDescent="0.3">
      <c r="B38" s="43" t="s">
        <v>36</v>
      </c>
      <c r="C38" s="3" t="s">
        <v>37</v>
      </c>
      <c r="D38" s="2" t="s">
        <v>38</v>
      </c>
      <c r="E38" s="4">
        <v>75040.98</v>
      </c>
      <c r="F38" s="4">
        <v>45087.774933350316</v>
      </c>
      <c r="G38" s="45">
        <v>0</v>
      </c>
      <c r="H38" s="4">
        <v>0</v>
      </c>
      <c r="I38" s="4">
        <f t="shared" ref="I38:I40" si="28">K38+((H38-J38)/(E38/F38))</f>
        <v>0</v>
      </c>
      <c r="J38" s="4">
        <v>0</v>
      </c>
      <c r="K38" s="4">
        <v>0</v>
      </c>
      <c r="L38" s="44">
        <f>+H38/E38</f>
        <v>0</v>
      </c>
      <c r="M38" s="44">
        <f>+I38/F38</f>
        <v>0</v>
      </c>
      <c r="N38" s="44">
        <f>+J38/E38</f>
        <v>0</v>
      </c>
      <c r="O38" s="44">
        <f>+K38/F38</f>
        <v>0</v>
      </c>
    </row>
    <row r="39" spans="2:15" ht="15" customHeight="1" x14ac:dyDescent="0.3">
      <c r="B39" s="43" t="s">
        <v>39</v>
      </c>
      <c r="C39" s="3" t="s">
        <v>40</v>
      </c>
      <c r="D39" s="101" t="s">
        <v>31</v>
      </c>
      <c r="E39" s="4">
        <v>150000</v>
      </c>
      <c r="F39" s="4">
        <v>90126.304853728565</v>
      </c>
      <c r="G39" s="45">
        <v>0</v>
      </c>
      <c r="H39" s="4">
        <v>0</v>
      </c>
      <c r="I39" s="4">
        <f t="shared" si="28"/>
        <v>0</v>
      </c>
      <c r="J39" s="4">
        <v>0</v>
      </c>
      <c r="K39" s="4">
        <v>0</v>
      </c>
      <c r="L39" s="44">
        <f>+H39/E39</f>
        <v>0</v>
      </c>
      <c r="M39" s="44">
        <f>+I39/F39</f>
        <v>0</v>
      </c>
      <c r="N39" s="44">
        <f>+J39/E39</f>
        <v>0</v>
      </c>
      <c r="O39" s="44">
        <f>+K39/F39</f>
        <v>0</v>
      </c>
    </row>
    <row r="40" spans="2:15" ht="15" customHeight="1" x14ac:dyDescent="0.3">
      <c r="B40" s="43" t="s">
        <v>161</v>
      </c>
      <c r="C40" s="3" t="s">
        <v>162</v>
      </c>
      <c r="D40" s="101"/>
      <c r="E40" s="4">
        <v>20010.091359999999</v>
      </c>
      <c r="F40" s="4">
        <v>12022.903960415466</v>
      </c>
      <c r="G40" s="45">
        <v>0</v>
      </c>
      <c r="H40" s="4">
        <v>0</v>
      </c>
      <c r="I40" s="4">
        <f t="shared" si="28"/>
        <v>0</v>
      </c>
      <c r="J40" s="4"/>
      <c r="K40" s="4"/>
      <c r="L40" s="44"/>
      <c r="M40" s="44"/>
      <c r="N40" s="44"/>
      <c r="O40" s="44"/>
    </row>
    <row r="41" spans="2:15" s="7" customFormat="1" ht="20.100000000000001" customHeight="1" x14ac:dyDescent="0.3">
      <c r="B41" s="62" t="s">
        <v>171</v>
      </c>
      <c r="C41" s="37"/>
      <c r="D41" s="38"/>
      <c r="E41" s="11">
        <f>+E42+E46</f>
        <v>243930.69990000001</v>
      </c>
      <c r="F41" s="11">
        <f t="shared" ref="F41:K41" si="29">+F42+F46</f>
        <v>149595.4485213249</v>
      </c>
      <c r="G41" s="11">
        <f>+G42+G46</f>
        <v>0</v>
      </c>
      <c r="H41" s="11">
        <f t="shared" si="29"/>
        <v>0</v>
      </c>
      <c r="I41" s="11">
        <f t="shared" si="29"/>
        <v>0</v>
      </c>
      <c r="J41" s="11">
        <f t="shared" si="29"/>
        <v>0</v>
      </c>
      <c r="K41" s="11">
        <f t="shared" si="29"/>
        <v>0</v>
      </c>
      <c r="L41" s="40">
        <f>+H41/E41</f>
        <v>0</v>
      </c>
      <c r="M41" s="40">
        <f>+I41/F41</f>
        <v>0</v>
      </c>
      <c r="N41" s="40">
        <f>+J41/E41</f>
        <v>0</v>
      </c>
      <c r="O41" s="40">
        <f>+K41/F41</f>
        <v>0</v>
      </c>
    </row>
    <row r="42" spans="2:15" s="77" customFormat="1" ht="15" customHeight="1" x14ac:dyDescent="0.3">
      <c r="B42" s="72" t="s">
        <v>116</v>
      </c>
      <c r="C42" s="78"/>
      <c r="D42" s="79"/>
      <c r="E42" s="75">
        <f>+SUM(E43:E45)</f>
        <v>90451.155899999998</v>
      </c>
      <c r="F42" s="75">
        <f t="shared" ref="F42:K42" si="30">+SUM(F43:F45)</f>
        <v>54346.856340103521</v>
      </c>
      <c r="G42" s="75">
        <f t="shared" si="30"/>
        <v>0</v>
      </c>
      <c r="H42" s="75">
        <f t="shared" si="30"/>
        <v>0</v>
      </c>
      <c r="I42" s="75">
        <f t="shared" si="30"/>
        <v>0</v>
      </c>
      <c r="J42" s="75">
        <f t="shared" si="30"/>
        <v>0</v>
      </c>
      <c r="K42" s="75">
        <f t="shared" si="30"/>
        <v>0</v>
      </c>
      <c r="L42" s="76"/>
      <c r="M42" s="76"/>
      <c r="N42" s="76"/>
      <c r="O42" s="76"/>
    </row>
    <row r="43" spans="2:15" ht="15" customHeight="1" x14ac:dyDescent="0.3">
      <c r="B43" s="43" t="s">
        <v>41</v>
      </c>
      <c r="C43" s="3" t="s">
        <v>42</v>
      </c>
      <c r="D43" s="47" t="s">
        <v>31</v>
      </c>
      <c r="E43" s="4">
        <v>56484.455999999998</v>
      </c>
      <c r="F43" s="4">
        <v>33938.235339686777</v>
      </c>
      <c r="G43" s="45">
        <v>0</v>
      </c>
      <c r="H43" s="4">
        <v>0</v>
      </c>
      <c r="I43" s="4">
        <f t="shared" ref="I43:I45" si="31">K43+((H43-J43)/(E43/F43))</f>
        <v>0</v>
      </c>
      <c r="J43" s="4">
        <v>0</v>
      </c>
      <c r="K43" s="4">
        <v>0</v>
      </c>
      <c r="L43" s="44">
        <f t="shared" ref="L43:M44" si="32">+H43/E43</f>
        <v>0</v>
      </c>
      <c r="M43" s="44">
        <f t="shared" si="32"/>
        <v>0</v>
      </c>
      <c r="N43" s="44">
        <f t="shared" ref="N43:O44" si="33">+J43/E43</f>
        <v>0</v>
      </c>
      <c r="O43" s="44">
        <f t="shared" si="33"/>
        <v>0</v>
      </c>
    </row>
    <row r="44" spans="2:15" ht="15" customHeight="1" x14ac:dyDescent="0.3">
      <c r="B44" s="43" t="s">
        <v>43</v>
      </c>
      <c r="C44" s="3" t="s">
        <v>44</v>
      </c>
      <c r="D44" s="47"/>
      <c r="E44" s="4">
        <v>18999.999900000003</v>
      </c>
      <c r="F44" s="4">
        <v>11415.998554721416</v>
      </c>
      <c r="G44" s="45">
        <v>0</v>
      </c>
      <c r="H44" s="4">
        <v>0</v>
      </c>
      <c r="I44" s="4">
        <f t="shared" si="31"/>
        <v>0</v>
      </c>
      <c r="J44" s="4">
        <v>0</v>
      </c>
      <c r="K44" s="4">
        <v>0</v>
      </c>
      <c r="L44" s="42">
        <f t="shared" si="32"/>
        <v>0</v>
      </c>
      <c r="M44" s="42">
        <f t="shared" si="32"/>
        <v>0</v>
      </c>
      <c r="N44" s="42">
        <f t="shared" si="33"/>
        <v>0</v>
      </c>
      <c r="O44" s="42">
        <f t="shared" si="33"/>
        <v>0</v>
      </c>
    </row>
    <row r="45" spans="2:15" ht="27.6" x14ac:dyDescent="0.3">
      <c r="B45" s="43" t="s">
        <v>163</v>
      </c>
      <c r="C45" s="3" t="s">
        <v>164</v>
      </c>
      <c r="D45" s="47"/>
      <c r="E45" s="4">
        <v>14966.7</v>
      </c>
      <c r="F45" s="4">
        <v>8992.6224456953296</v>
      </c>
      <c r="G45" s="45">
        <v>0</v>
      </c>
      <c r="H45" s="4">
        <v>0</v>
      </c>
      <c r="I45" s="4">
        <f t="shared" si="31"/>
        <v>0</v>
      </c>
      <c r="J45" s="4"/>
      <c r="K45" s="4"/>
      <c r="L45" s="42"/>
      <c r="M45" s="42"/>
      <c r="N45" s="42"/>
      <c r="O45" s="42"/>
    </row>
    <row r="46" spans="2:15" s="77" customFormat="1" ht="15" customHeight="1" x14ac:dyDescent="0.3">
      <c r="B46" s="72" t="s">
        <v>117</v>
      </c>
      <c r="C46" s="73"/>
      <c r="D46" s="74"/>
      <c r="E46" s="75">
        <f>+SUM(E47:E54)</f>
        <v>153479.54399999999</v>
      </c>
      <c r="F46" s="75">
        <f t="shared" ref="F46:K46" si="34">+SUM(F47:F54)</f>
        <v>95248.592181221393</v>
      </c>
      <c r="G46" s="75">
        <f t="shared" si="34"/>
        <v>0</v>
      </c>
      <c r="H46" s="75">
        <f t="shared" si="34"/>
        <v>0</v>
      </c>
      <c r="I46" s="75">
        <f t="shared" si="34"/>
        <v>0</v>
      </c>
      <c r="J46" s="75">
        <f t="shared" si="34"/>
        <v>0</v>
      </c>
      <c r="K46" s="75">
        <f t="shared" si="34"/>
        <v>0</v>
      </c>
      <c r="L46" s="76"/>
      <c r="M46" s="76"/>
      <c r="N46" s="76"/>
      <c r="O46" s="76"/>
    </row>
    <row r="47" spans="2:15" ht="15" customHeight="1" x14ac:dyDescent="0.3">
      <c r="B47" s="43" t="s">
        <v>45</v>
      </c>
      <c r="C47" s="3" t="s">
        <v>46</v>
      </c>
      <c r="D47" s="98" t="s">
        <v>31</v>
      </c>
      <c r="E47" s="4">
        <v>26668</v>
      </c>
      <c r="F47" s="4">
        <v>16023.255324498992</v>
      </c>
      <c r="G47" s="45">
        <v>0</v>
      </c>
      <c r="H47" s="4">
        <v>0</v>
      </c>
      <c r="I47" s="4">
        <f t="shared" ref="I47:I52" si="35">K47+((H47-J47)/(E47/F47))</f>
        <v>0</v>
      </c>
      <c r="J47" s="4">
        <v>0</v>
      </c>
      <c r="K47" s="4">
        <v>0</v>
      </c>
      <c r="L47" s="42">
        <f t="shared" ref="L47:L70" si="36">+H47/E47</f>
        <v>0</v>
      </c>
      <c r="M47" s="42">
        <f t="shared" ref="M47:M70" si="37">+I47/F47</f>
        <v>0</v>
      </c>
      <c r="N47" s="42">
        <f t="shared" ref="N47:N70" si="38">+J47/E47</f>
        <v>0</v>
      </c>
      <c r="O47" s="42">
        <f t="shared" ref="O47:O70" si="39">+K47/F47</f>
        <v>0</v>
      </c>
    </row>
    <row r="48" spans="2:15" ht="15" customHeight="1" x14ac:dyDescent="0.3">
      <c r="B48" s="43" t="s">
        <v>47</v>
      </c>
      <c r="C48" s="3" t="s">
        <v>48</v>
      </c>
      <c r="D48" s="100"/>
      <c r="E48" s="4">
        <v>1680</v>
      </c>
      <c r="F48" s="4">
        <v>1009.4146143617597</v>
      </c>
      <c r="G48" s="45">
        <v>0</v>
      </c>
      <c r="H48" s="4">
        <v>0</v>
      </c>
      <c r="I48" s="4">
        <f t="shared" si="35"/>
        <v>0</v>
      </c>
      <c r="J48" s="4">
        <v>0</v>
      </c>
      <c r="K48" s="4">
        <v>0</v>
      </c>
      <c r="L48" s="42">
        <f t="shared" si="36"/>
        <v>0</v>
      </c>
      <c r="M48" s="42">
        <f t="shared" si="37"/>
        <v>0</v>
      </c>
      <c r="N48" s="42">
        <f t="shared" si="38"/>
        <v>0</v>
      </c>
      <c r="O48" s="42">
        <f t="shared" si="39"/>
        <v>0</v>
      </c>
    </row>
    <row r="49" spans="2:15" ht="15" customHeight="1" x14ac:dyDescent="0.3">
      <c r="B49" s="43" t="s">
        <v>49</v>
      </c>
      <c r="C49" s="3" t="s">
        <v>50</v>
      </c>
      <c r="D49" s="100"/>
      <c r="E49" s="4">
        <v>22880</v>
      </c>
      <c r="F49" s="4">
        <v>13529.733665984142</v>
      </c>
      <c r="G49" s="45">
        <v>0</v>
      </c>
      <c r="H49" s="4">
        <v>0</v>
      </c>
      <c r="I49" s="4">
        <f t="shared" si="35"/>
        <v>0</v>
      </c>
      <c r="J49" s="4">
        <v>0</v>
      </c>
      <c r="K49" s="4">
        <v>0</v>
      </c>
      <c r="L49" s="42">
        <f t="shared" si="36"/>
        <v>0</v>
      </c>
      <c r="M49" s="42">
        <f t="shared" si="37"/>
        <v>0</v>
      </c>
      <c r="N49" s="42">
        <f t="shared" si="38"/>
        <v>0</v>
      </c>
      <c r="O49" s="42">
        <f t="shared" si="39"/>
        <v>0</v>
      </c>
    </row>
    <row r="50" spans="2:15" ht="15" customHeight="1" x14ac:dyDescent="0.3">
      <c r="B50" s="43" t="s">
        <v>51</v>
      </c>
      <c r="C50" s="3" t="s">
        <v>103</v>
      </c>
      <c r="D50" s="100"/>
      <c r="E50" s="4">
        <v>29760</v>
      </c>
      <c r="F50" s="4">
        <v>17881.058882979745</v>
      </c>
      <c r="G50" s="45">
        <v>0</v>
      </c>
      <c r="H50" s="4">
        <v>0</v>
      </c>
      <c r="I50" s="4">
        <f t="shared" si="35"/>
        <v>0</v>
      </c>
      <c r="J50" s="4">
        <v>0</v>
      </c>
      <c r="K50" s="4">
        <v>0</v>
      </c>
      <c r="L50" s="42">
        <f t="shared" si="36"/>
        <v>0</v>
      </c>
      <c r="M50" s="42">
        <f t="shared" si="37"/>
        <v>0</v>
      </c>
      <c r="N50" s="42">
        <f t="shared" si="38"/>
        <v>0</v>
      </c>
      <c r="O50" s="42">
        <f t="shared" si="39"/>
        <v>0</v>
      </c>
    </row>
    <row r="51" spans="2:15" ht="15" customHeight="1" x14ac:dyDescent="0.3">
      <c r="B51" s="43" t="s">
        <v>52</v>
      </c>
      <c r="C51" s="3" t="s">
        <v>53</v>
      </c>
      <c r="D51" s="100"/>
      <c r="E51" s="4">
        <v>32080</v>
      </c>
      <c r="F51" s="4">
        <v>19275.012398050756</v>
      </c>
      <c r="G51" s="45">
        <v>0</v>
      </c>
      <c r="H51" s="4">
        <v>0</v>
      </c>
      <c r="I51" s="4">
        <f t="shared" si="35"/>
        <v>0</v>
      </c>
      <c r="J51" s="4">
        <v>0</v>
      </c>
      <c r="K51" s="4">
        <v>0</v>
      </c>
      <c r="L51" s="44">
        <f t="shared" si="36"/>
        <v>0</v>
      </c>
      <c r="M51" s="44">
        <f t="shared" si="37"/>
        <v>0</v>
      </c>
      <c r="N51" s="44">
        <f t="shared" si="38"/>
        <v>0</v>
      </c>
      <c r="O51" s="44">
        <f t="shared" si="39"/>
        <v>0</v>
      </c>
    </row>
    <row r="52" spans="2:15" ht="15" customHeight="1" x14ac:dyDescent="0.3">
      <c r="B52" s="43" t="s">
        <v>54</v>
      </c>
      <c r="C52" s="3" t="s">
        <v>55</v>
      </c>
      <c r="D52" s="100"/>
      <c r="E52" s="4">
        <v>7644</v>
      </c>
      <c r="F52" s="4">
        <v>4592.8364953460068</v>
      </c>
      <c r="G52" s="45">
        <v>0</v>
      </c>
      <c r="H52" s="4">
        <v>0</v>
      </c>
      <c r="I52" s="4">
        <f t="shared" si="35"/>
        <v>0</v>
      </c>
      <c r="J52" s="4">
        <v>0</v>
      </c>
      <c r="K52" s="4">
        <v>0</v>
      </c>
      <c r="L52" s="44">
        <f t="shared" si="36"/>
        <v>0</v>
      </c>
      <c r="M52" s="44">
        <f t="shared" si="37"/>
        <v>0</v>
      </c>
      <c r="N52" s="44">
        <f t="shared" si="38"/>
        <v>0</v>
      </c>
      <c r="O52" s="44">
        <f t="shared" si="39"/>
        <v>0</v>
      </c>
    </row>
    <row r="53" spans="2:15" ht="15" customHeight="1" x14ac:dyDescent="0.3">
      <c r="B53" s="43" t="s">
        <v>56</v>
      </c>
      <c r="C53" s="3" t="s">
        <v>57</v>
      </c>
      <c r="D53" s="99"/>
      <c r="E53" s="4">
        <v>1400</v>
      </c>
      <c r="F53" s="4">
        <v>979.99999999999989</v>
      </c>
      <c r="G53" s="45">
        <v>0</v>
      </c>
      <c r="H53" s="4">
        <v>0</v>
      </c>
      <c r="I53" s="4">
        <f>K53+((H53-J53)*0.7)</f>
        <v>0</v>
      </c>
      <c r="J53" s="4">
        <v>0</v>
      </c>
      <c r="K53" s="4">
        <v>0</v>
      </c>
      <c r="L53" s="44">
        <f t="shared" si="36"/>
        <v>0</v>
      </c>
      <c r="M53" s="44">
        <f t="shared" si="37"/>
        <v>0</v>
      </c>
      <c r="N53" s="44">
        <f t="shared" si="38"/>
        <v>0</v>
      </c>
      <c r="O53" s="44">
        <f t="shared" si="39"/>
        <v>0</v>
      </c>
    </row>
    <row r="54" spans="2:15" ht="15" customHeight="1" x14ac:dyDescent="0.3">
      <c r="B54" s="43" t="s">
        <v>58</v>
      </c>
      <c r="C54" s="3" t="s">
        <v>59</v>
      </c>
      <c r="D54" s="2" t="s">
        <v>5</v>
      </c>
      <c r="E54" s="4">
        <v>31367.544000000002</v>
      </c>
      <c r="F54" s="4">
        <v>21957.280799999997</v>
      </c>
      <c r="G54" s="45">
        <v>0</v>
      </c>
      <c r="H54" s="4">
        <v>0</v>
      </c>
      <c r="I54" s="4">
        <f>K54+((H54-J54)*0.7)</f>
        <v>0</v>
      </c>
      <c r="J54" s="4">
        <v>0</v>
      </c>
      <c r="K54" s="4">
        <v>0</v>
      </c>
      <c r="L54" s="44">
        <f t="shared" si="36"/>
        <v>0</v>
      </c>
      <c r="M54" s="44">
        <f t="shared" si="37"/>
        <v>0</v>
      </c>
      <c r="N54" s="44">
        <f t="shared" si="38"/>
        <v>0</v>
      </c>
      <c r="O54" s="44">
        <f t="shared" si="39"/>
        <v>0</v>
      </c>
    </row>
    <row r="55" spans="2:15" s="7" customFormat="1" ht="20.100000000000001" customHeight="1" x14ac:dyDescent="0.3">
      <c r="B55" s="62" t="s">
        <v>108</v>
      </c>
      <c r="C55" s="37"/>
      <c r="D55" s="38"/>
      <c r="E55" s="11">
        <f>+E56+E62</f>
        <v>83514.455000000016</v>
      </c>
      <c r="F55" s="11">
        <f t="shared" ref="F55:K55" si="40">+F56+F62</f>
        <v>53059.879160721968</v>
      </c>
      <c r="G55" s="11">
        <f>+G56+G62</f>
        <v>6570</v>
      </c>
      <c r="H55" s="11">
        <f t="shared" si="40"/>
        <v>36816.756750000008</v>
      </c>
      <c r="I55" s="11">
        <f t="shared" si="40"/>
        <v>27258.437582093484</v>
      </c>
      <c r="J55" s="11">
        <f t="shared" si="40"/>
        <v>30187.310280000005</v>
      </c>
      <c r="K55" s="11">
        <f t="shared" si="40"/>
        <v>22966.512880000009</v>
      </c>
      <c r="L55" s="40">
        <f>+H55/E55</f>
        <v>0.44084292653289781</v>
      </c>
      <c r="M55" s="40">
        <f>+I55/F55</f>
        <v>0.51372973352475659</v>
      </c>
      <c r="N55" s="40">
        <f>+J55/E55</f>
        <v>0.36146209994425516</v>
      </c>
      <c r="O55" s="40">
        <f>+K55/F55</f>
        <v>0.43284140942788213</v>
      </c>
    </row>
    <row r="56" spans="2:15" s="77" customFormat="1" ht="15" customHeight="1" x14ac:dyDescent="0.3">
      <c r="B56" s="72" t="s">
        <v>118</v>
      </c>
      <c r="C56" s="78"/>
      <c r="D56" s="79"/>
      <c r="E56" s="75">
        <f>+SUM(E57:E61)</f>
        <v>80664.455000000016</v>
      </c>
      <c r="F56" s="75">
        <f t="shared" ref="F56:K56" si="41">+SUM(F57:F61)</f>
        <v>51374.575797607686</v>
      </c>
      <c r="G56" s="75">
        <f t="shared" si="41"/>
        <v>6570</v>
      </c>
      <c r="H56" s="75">
        <f t="shared" si="41"/>
        <v>36816.756750000008</v>
      </c>
      <c r="I56" s="75">
        <f t="shared" si="41"/>
        <v>27258.437582093484</v>
      </c>
      <c r="J56" s="75">
        <f t="shared" si="41"/>
        <v>30187.310280000005</v>
      </c>
      <c r="K56" s="75">
        <f t="shared" si="41"/>
        <v>22966.512880000009</v>
      </c>
      <c r="L56" s="76">
        <f t="shared" ref="L56" si="42">+H56/E56</f>
        <v>0.45641858920388167</v>
      </c>
      <c r="M56" s="76">
        <f t="shared" ref="M56" si="43">+I56/F56</f>
        <v>0.53058224148612443</v>
      </c>
      <c r="N56" s="76">
        <f t="shared" ref="N56" si="44">+J56/E56</f>
        <v>0.37423311519305497</v>
      </c>
      <c r="O56" s="76">
        <f t="shared" ref="O56" si="45">+K56/F56</f>
        <v>0.44704043826030909</v>
      </c>
    </row>
    <row r="57" spans="2:15" ht="15" customHeight="1" x14ac:dyDescent="0.3">
      <c r="B57" s="43" t="s">
        <v>60</v>
      </c>
      <c r="C57" s="3" t="s">
        <v>61</v>
      </c>
      <c r="D57" s="2" t="s">
        <v>62</v>
      </c>
      <c r="E57" s="4">
        <v>63430.930000000029</v>
      </c>
      <c r="F57" s="4">
        <v>41065.385560577895</v>
      </c>
      <c r="G57" s="4">
        <v>6570</v>
      </c>
      <c r="H57" s="4">
        <v>36816.756750000008</v>
      </c>
      <c r="I57" s="4">
        <f>K57+((H57-J57)/(E57/F57))</f>
        <v>27258.437582093484</v>
      </c>
      <c r="J57" s="4">
        <v>30187.310280000005</v>
      </c>
      <c r="K57" s="4">
        <v>22966.512880000009</v>
      </c>
      <c r="L57" s="44">
        <f t="shared" si="36"/>
        <v>0.58042278033760486</v>
      </c>
      <c r="M57" s="44">
        <f t="shared" si="37"/>
        <v>0.66378136257561748</v>
      </c>
      <c r="N57" s="44">
        <f>+J57/E57</f>
        <v>0.47590836647042684</v>
      </c>
      <c r="O57" s="44">
        <f t="shared" si="39"/>
        <v>0.55926694870843952</v>
      </c>
    </row>
    <row r="58" spans="2:15" ht="15" customHeight="1" x14ac:dyDescent="0.3">
      <c r="B58" s="43" t="s">
        <v>63</v>
      </c>
      <c r="C58" s="3" t="s">
        <v>64</v>
      </c>
      <c r="D58" s="101" t="s">
        <v>31</v>
      </c>
      <c r="E58" s="4">
        <v>6300</v>
      </c>
      <c r="F58" s="4">
        <v>3785.3048038566003</v>
      </c>
      <c r="G58" s="45">
        <v>0</v>
      </c>
      <c r="H58" s="4">
        <v>0</v>
      </c>
      <c r="I58" s="4">
        <f t="shared" ref="I58:I60" si="46">K58+((H58-J58)/(E58/F58))</f>
        <v>0</v>
      </c>
      <c r="J58" s="4">
        <v>0</v>
      </c>
      <c r="K58" s="4">
        <v>0</v>
      </c>
      <c r="L58" s="44">
        <f t="shared" si="36"/>
        <v>0</v>
      </c>
      <c r="M58" s="44">
        <f t="shared" si="37"/>
        <v>0</v>
      </c>
      <c r="N58" s="44">
        <f t="shared" si="38"/>
        <v>0</v>
      </c>
      <c r="O58" s="44">
        <f t="shared" si="39"/>
        <v>0</v>
      </c>
    </row>
    <row r="59" spans="2:15" ht="15" customHeight="1" x14ac:dyDescent="0.3">
      <c r="B59" s="43" t="s">
        <v>65</v>
      </c>
      <c r="C59" s="3" t="s">
        <v>105</v>
      </c>
      <c r="D59" s="101"/>
      <c r="E59" s="4">
        <v>6000</v>
      </c>
      <c r="F59" s="4">
        <v>3575.3391279873176</v>
      </c>
      <c r="G59" s="45">
        <v>0</v>
      </c>
      <c r="H59" s="4">
        <v>0</v>
      </c>
      <c r="I59" s="4">
        <f t="shared" si="46"/>
        <v>0</v>
      </c>
      <c r="J59" s="4">
        <v>0</v>
      </c>
      <c r="K59" s="4">
        <v>0</v>
      </c>
      <c r="L59" s="44">
        <f t="shared" si="36"/>
        <v>0</v>
      </c>
      <c r="M59" s="44">
        <f t="shared" si="37"/>
        <v>0</v>
      </c>
      <c r="N59" s="44">
        <f t="shared" si="38"/>
        <v>0</v>
      </c>
      <c r="O59" s="44">
        <f t="shared" si="39"/>
        <v>0</v>
      </c>
    </row>
    <row r="60" spans="2:15" ht="15" customHeight="1" x14ac:dyDescent="0.3">
      <c r="B60" s="43" t="s">
        <v>66</v>
      </c>
      <c r="C60" s="3" t="s">
        <v>104</v>
      </c>
      <c r="D60" s="101"/>
      <c r="E60" s="4">
        <v>3523.5250000000001</v>
      </c>
      <c r="F60" s="4">
        <v>2101.359039560823</v>
      </c>
      <c r="G60" s="45">
        <v>0</v>
      </c>
      <c r="H60" s="4">
        <v>0</v>
      </c>
      <c r="I60" s="4">
        <f t="shared" si="46"/>
        <v>0</v>
      </c>
      <c r="J60" s="4">
        <v>0</v>
      </c>
      <c r="K60" s="4">
        <v>0</v>
      </c>
      <c r="L60" s="44">
        <f t="shared" si="36"/>
        <v>0</v>
      </c>
      <c r="M60" s="44">
        <f t="shared" si="37"/>
        <v>0</v>
      </c>
      <c r="N60" s="44">
        <f t="shared" si="38"/>
        <v>0</v>
      </c>
      <c r="O60" s="44">
        <f t="shared" si="39"/>
        <v>0</v>
      </c>
    </row>
    <row r="61" spans="2:15" s="67" customFormat="1" ht="15" customHeight="1" x14ac:dyDescent="0.3">
      <c r="B61" s="63" t="s">
        <v>67</v>
      </c>
      <c r="C61" s="64" t="s">
        <v>68</v>
      </c>
      <c r="D61" s="65" t="s">
        <v>69</v>
      </c>
      <c r="E61" s="16">
        <v>1410</v>
      </c>
      <c r="F61" s="16">
        <v>847.18726562504855</v>
      </c>
      <c r="G61" s="45">
        <v>0</v>
      </c>
      <c r="H61" s="4">
        <v>0</v>
      </c>
      <c r="I61" s="16">
        <f>K61+((H61-J61)/(E61/F61))</f>
        <v>0</v>
      </c>
      <c r="J61" s="16">
        <v>0</v>
      </c>
      <c r="K61" s="16">
        <v>0</v>
      </c>
      <c r="L61" s="66">
        <f t="shared" si="36"/>
        <v>0</v>
      </c>
      <c r="M61" s="66">
        <f t="shared" si="37"/>
        <v>0</v>
      </c>
      <c r="N61" s="66">
        <f t="shared" si="38"/>
        <v>0</v>
      </c>
      <c r="O61" s="66">
        <f t="shared" si="39"/>
        <v>0</v>
      </c>
    </row>
    <row r="62" spans="2:15" s="77" customFormat="1" ht="15" customHeight="1" x14ac:dyDescent="0.3">
      <c r="B62" s="72" t="s">
        <v>119</v>
      </c>
      <c r="C62" s="73"/>
      <c r="D62" s="74"/>
      <c r="E62" s="75">
        <f>+SUM(E63:E64)</f>
        <v>2850</v>
      </c>
      <c r="F62" s="75">
        <f t="shared" ref="F62:K62" si="47">+SUM(F63:F64)</f>
        <v>1685.3033631142835</v>
      </c>
      <c r="G62" s="75">
        <f t="shared" si="47"/>
        <v>0</v>
      </c>
      <c r="H62" s="75">
        <f t="shared" si="47"/>
        <v>0</v>
      </c>
      <c r="I62" s="75">
        <f t="shared" si="47"/>
        <v>0</v>
      </c>
      <c r="J62" s="75">
        <f t="shared" si="47"/>
        <v>0</v>
      </c>
      <c r="K62" s="75">
        <f t="shared" si="47"/>
        <v>0</v>
      </c>
      <c r="L62" s="76">
        <f>+H62/E62</f>
        <v>0</v>
      </c>
      <c r="M62" s="76">
        <f t="shared" ref="M62:M64" si="48">+I62/F62</f>
        <v>0</v>
      </c>
      <c r="N62" s="76">
        <f t="shared" ref="N62:N64" si="49">+J62/E62</f>
        <v>0</v>
      </c>
      <c r="O62" s="76">
        <f t="shared" ref="O62:O64" si="50">+K62/F62</f>
        <v>0</v>
      </c>
    </row>
    <row r="63" spans="2:15" ht="15" customHeight="1" x14ac:dyDescent="0.3">
      <c r="B63" s="43" t="s">
        <v>70</v>
      </c>
      <c r="C63" s="3" t="s">
        <v>71</v>
      </c>
      <c r="D63" s="98" t="s">
        <v>69</v>
      </c>
      <c r="E63" s="4">
        <v>2000</v>
      </c>
      <c r="F63" s="4">
        <v>1182.6690267468655</v>
      </c>
      <c r="G63" s="45">
        <v>0</v>
      </c>
      <c r="H63" s="4">
        <v>0</v>
      </c>
      <c r="I63" s="4">
        <f t="shared" ref="I63:I64" si="51">K63+((H63-J63)/(E63/F63))</f>
        <v>0</v>
      </c>
      <c r="J63" s="4">
        <v>0</v>
      </c>
      <c r="K63" s="4">
        <v>0</v>
      </c>
      <c r="L63" s="44">
        <f t="shared" ref="L63:L64" si="52">+H63/E63</f>
        <v>0</v>
      </c>
      <c r="M63" s="44">
        <f t="shared" si="48"/>
        <v>0</v>
      </c>
      <c r="N63" s="44">
        <f t="shared" si="49"/>
        <v>0</v>
      </c>
      <c r="O63" s="44">
        <f t="shared" si="50"/>
        <v>0</v>
      </c>
    </row>
    <row r="64" spans="2:15" ht="15" customHeight="1" x14ac:dyDescent="0.3">
      <c r="B64" s="43" t="s">
        <v>72</v>
      </c>
      <c r="C64" s="3" t="s">
        <v>73</v>
      </c>
      <c r="D64" s="99"/>
      <c r="E64" s="4">
        <v>850</v>
      </c>
      <c r="F64" s="4">
        <v>502.63433636741786</v>
      </c>
      <c r="G64" s="45">
        <v>0</v>
      </c>
      <c r="H64" s="4">
        <v>0</v>
      </c>
      <c r="I64" s="4">
        <f t="shared" si="51"/>
        <v>0</v>
      </c>
      <c r="J64" s="4">
        <v>0</v>
      </c>
      <c r="K64" s="4">
        <v>0</v>
      </c>
      <c r="L64" s="44">
        <f t="shared" si="52"/>
        <v>0</v>
      </c>
      <c r="M64" s="44">
        <f t="shared" si="48"/>
        <v>0</v>
      </c>
      <c r="N64" s="44">
        <f t="shared" si="49"/>
        <v>0</v>
      </c>
      <c r="O64" s="44">
        <f t="shared" si="50"/>
        <v>0</v>
      </c>
    </row>
    <row r="65" spans="2:16" s="7" customFormat="1" ht="20.100000000000001" customHeight="1" x14ac:dyDescent="0.3">
      <c r="B65" s="62" t="s">
        <v>109</v>
      </c>
      <c r="C65" s="37"/>
      <c r="D65" s="38"/>
      <c r="E65" s="11">
        <f>SUM(E66:E70)</f>
        <v>37793.925000000003</v>
      </c>
      <c r="F65" s="11">
        <f>SUM(F66:F70)</f>
        <v>23696.78810189712</v>
      </c>
      <c r="G65" s="11">
        <f>SUM(G66:G70)</f>
        <v>7</v>
      </c>
      <c r="H65" s="11">
        <f t="shared" ref="H65:K65" si="53">SUM(H66:H70)</f>
        <v>7217.4209000000001</v>
      </c>
      <c r="I65" s="11">
        <f t="shared" si="53"/>
        <v>4299.8257101034378</v>
      </c>
      <c r="J65" s="11">
        <f t="shared" si="53"/>
        <v>0</v>
      </c>
      <c r="K65" s="11">
        <f t="shared" si="53"/>
        <v>0</v>
      </c>
      <c r="L65" s="40">
        <f>+H65/E65</f>
        <v>0.19096775209243283</v>
      </c>
      <c r="M65" s="40">
        <f>+I65/F65</f>
        <v>0.18145183607221443</v>
      </c>
      <c r="N65" s="40">
        <f>+J65/E65</f>
        <v>0</v>
      </c>
      <c r="O65" s="40">
        <f>+K65/F65</f>
        <v>0</v>
      </c>
    </row>
    <row r="66" spans="2:16" s="13" customFormat="1" ht="15" customHeight="1" x14ac:dyDescent="0.3">
      <c r="B66" s="69" t="s">
        <v>74</v>
      </c>
      <c r="C66" s="70" t="s">
        <v>75</v>
      </c>
      <c r="D66" s="15" t="s">
        <v>69</v>
      </c>
      <c r="E66" s="4">
        <v>11000</v>
      </c>
      <c r="F66" s="4">
        <v>7699.9999999999991</v>
      </c>
      <c r="G66" s="45">
        <v>0</v>
      </c>
      <c r="H66" s="4">
        <v>0</v>
      </c>
      <c r="I66" s="4">
        <f>K66+((H66-J66)*0.7)</f>
        <v>0</v>
      </c>
      <c r="J66" s="4">
        <v>0</v>
      </c>
      <c r="K66" s="4">
        <v>0</v>
      </c>
      <c r="L66" s="42">
        <f t="shared" si="36"/>
        <v>0</v>
      </c>
      <c r="M66" s="42">
        <f t="shared" si="37"/>
        <v>0</v>
      </c>
      <c r="N66" s="42">
        <f t="shared" si="38"/>
        <v>0</v>
      </c>
      <c r="O66" s="42">
        <f t="shared" si="39"/>
        <v>0</v>
      </c>
      <c r="P66" s="67"/>
    </row>
    <row r="67" spans="2:16" s="13" customFormat="1" ht="15" customHeight="1" x14ac:dyDescent="0.3">
      <c r="B67" s="69" t="s">
        <v>76</v>
      </c>
      <c r="C67" s="70" t="s">
        <v>77</v>
      </c>
      <c r="D67" s="15" t="s">
        <v>78</v>
      </c>
      <c r="E67" s="4">
        <v>5882.7060000000001</v>
      </c>
      <c r="F67" s="4">
        <v>3484.3210925734716</v>
      </c>
      <c r="G67" s="45">
        <v>0</v>
      </c>
      <c r="H67" s="4">
        <v>0</v>
      </c>
      <c r="I67" s="4">
        <f>K67+((H67-J67)/(E67/F67))</f>
        <v>0</v>
      </c>
      <c r="J67" s="4">
        <v>0</v>
      </c>
      <c r="K67" s="4">
        <v>0</v>
      </c>
      <c r="L67" s="42">
        <f t="shared" si="36"/>
        <v>0</v>
      </c>
      <c r="M67" s="42">
        <f t="shared" si="37"/>
        <v>0</v>
      </c>
      <c r="N67" s="42">
        <f t="shared" si="38"/>
        <v>0</v>
      </c>
      <c r="O67" s="42">
        <f t="shared" si="39"/>
        <v>0</v>
      </c>
      <c r="P67" s="67"/>
    </row>
    <row r="68" spans="2:16" s="13" customFormat="1" ht="15" customHeight="1" x14ac:dyDescent="0.3">
      <c r="B68" s="69" t="s">
        <v>79</v>
      </c>
      <c r="C68" s="70" t="s">
        <v>80</v>
      </c>
      <c r="D68" s="15"/>
      <c r="E68" s="4">
        <v>8523.9210000000003</v>
      </c>
      <c r="F68" s="4">
        <v>5078.1816904554653</v>
      </c>
      <c r="G68" s="45">
        <v>7</v>
      </c>
      <c r="H68" s="4">
        <v>7217.4209000000001</v>
      </c>
      <c r="I68" s="4">
        <f>K68+((H68-J68)/(E68/F68))</f>
        <v>4299.8257101034378</v>
      </c>
      <c r="J68" s="4">
        <v>0</v>
      </c>
      <c r="K68" s="4">
        <v>0</v>
      </c>
      <c r="L68" s="42">
        <f t="shared" si="36"/>
        <v>0.84672545651232567</v>
      </c>
      <c r="M68" s="42">
        <f>+I68/F68</f>
        <v>0.84672545651232578</v>
      </c>
      <c r="N68" s="42">
        <f t="shared" si="38"/>
        <v>0</v>
      </c>
      <c r="O68" s="42">
        <f t="shared" si="39"/>
        <v>0</v>
      </c>
      <c r="P68" s="67"/>
    </row>
    <row r="69" spans="2:16" s="13" customFormat="1" ht="15" customHeight="1" x14ac:dyDescent="0.3">
      <c r="B69" s="69" t="s">
        <v>81</v>
      </c>
      <c r="C69" s="71" t="s">
        <v>82</v>
      </c>
      <c r="D69" s="15"/>
      <c r="E69" s="4">
        <v>300.13799999999998</v>
      </c>
      <c r="F69" s="4">
        <v>171.81153902955958</v>
      </c>
      <c r="G69" s="45">
        <v>0</v>
      </c>
      <c r="H69" s="4">
        <v>0</v>
      </c>
      <c r="I69" s="4">
        <f t="shared" ref="I69:I70" si="54">K69+((H69-J69)/(E69/F69))</f>
        <v>0</v>
      </c>
      <c r="J69" s="4">
        <v>0</v>
      </c>
      <c r="K69" s="4">
        <v>0</v>
      </c>
      <c r="L69" s="42">
        <f t="shared" si="36"/>
        <v>0</v>
      </c>
      <c r="M69" s="42">
        <f t="shared" si="37"/>
        <v>0</v>
      </c>
      <c r="N69" s="42">
        <f t="shared" si="38"/>
        <v>0</v>
      </c>
      <c r="O69" s="42">
        <f t="shared" si="39"/>
        <v>0</v>
      </c>
      <c r="P69" s="67"/>
    </row>
    <row r="70" spans="2:16" s="13" customFormat="1" ht="15" customHeight="1" x14ac:dyDescent="0.3">
      <c r="B70" s="69" t="s">
        <v>83</v>
      </c>
      <c r="C70" s="70" t="s">
        <v>84</v>
      </c>
      <c r="D70" s="15"/>
      <c r="E70" s="4">
        <v>12087.16</v>
      </c>
      <c r="F70" s="4">
        <v>7262.4737798386232</v>
      </c>
      <c r="G70" s="45">
        <v>0</v>
      </c>
      <c r="H70" s="4">
        <v>0</v>
      </c>
      <c r="I70" s="4">
        <f t="shared" si="54"/>
        <v>0</v>
      </c>
      <c r="J70" s="4">
        <v>0</v>
      </c>
      <c r="K70" s="4">
        <v>0</v>
      </c>
      <c r="L70" s="42">
        <f t="shared" si="36"/>
        <v>0</v>
      </c>
      <c r="M70" s="42">
        <f t="shared" si="37"/>
        <v>0</v>
      </c>
      <c r="N70" s="42">
        <f t="shared" si="38"/>
        <v>0</v>
      </c>
      <c r="O70" s="42">
        <f t="shared" si="39"/>
        <v>0</v>
      </c>
      <c r="P70" s="67"/>
    </row>
    <row r="71" spans="2:16" ht="5.0999999999999996" customHeight="1" x14ac:dyDescent="0.3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</row>
    <row r="72" spans="2:16" s="7" customFormat="1" ht="25.35" customHeight="1" x14ac:dyDescent="0.3">
      <c r="B72" s="17" t="s">
        <v>172</v>
      </c>
      <c r="C72" s="12"/>
      <c r="D72" s="12"/>
      <c r="E72" s="6">
        <f t="shared" ref="E72:K72" si="55">E74+E84+E90</f>
        <v>383024.03126000002</v>
      </c>
      <c r="F72" s="6">
        <f t="shared" si="55"/>
        <v>247683.67238834157</v>
      </c>
      <c r="G72" s="6">
        <f>G74+G84+G90</f>
        <v>8320</v>
      </c>
      <c r="H72" s="6">
        <f t="shared" si="55"/>
        <v>127174.18118000001</v>
      </c>
      <c r="I72" s="6">
        <f t="shared" si="55"/>
        <v>90683.912294000009</v>
      </c>
      <c r="J72" s="6">
        <f t="shared" si="55"/>
        <v>35631.033960000001</v>
      </c>
      <c r="K72" s="6">
        <f t="shared" si="55"/>
        <v>26603.709240000004</v>
      </c>
      <c r="L72" s="33">
        <f>+H72/E72</f>
        <v>0.33202663749751277</v>
      </c>
      <c r="M72" s="33">
        <f>+I72/F72</f>
        <v>0.3661279381864837</v>
      </c>
      <c r="N72" s="33">
        <f>+J72/E72</f>
        <v>9.3025583389083358E-2</v>
      </c>
      <c r="O72" s="33">
        <f>+K72/F72</f>
        <v>0.10741002417909981</v>
      </c>
    </row>
    <row r="73" spans="2:16" ht="5.0999999999999996" customHeight="1" x14ac:dyDescent="0.3">
      <c r="B73" s="49"/>
      <c r="C73" s="50"/>
      <c r="D73" s="50"/>
      <c r="E73" s="51"/>
      <c r="F73" s="51"/>
      <c r="G73" s="51"/>
      <c r="H73" s="51"/>
      <c r="I73" s="51"/>
      <c r="J73" s="51"/>
      <c r="K73" s="51"/>
      <c r="L73" s="52"/>
      <c r="M73" s="52"/>
      <c r="N73" s="52"/>
      <c r="O73" s="52"/>
    </row>
    <row r="74" spans="2:16" s="7" customFormat="1" ht="20.100000000000001" customHeight="1" x14ac:dyDescent="0.3">
      <c r="B74" s="62" t="s">
        <v>167</v>
      </c>
      <c r="C74" s="37"/>
      <c r="D74" s="38"/>
      <c r="E74" s="11">
        <v>149999.85</v>
      </c>
      <c r="F74" s="11">
        <v>104999.89499999997</v>
      </c>
      <c r="G74" s="11">
        <f>+G83++G75</f>
        <v>52</v>
      </c>
      <c r="H74" s="11">
        <f>+H83+H75</f>
        <v>37496.878180000007</v>
      </c>
      <c r="I74" s="11">
        <f>+I83++I75</f>
        <v>26263.637173000003</v>
      </c>
      <c r="J74" s="11">
        <f>+J83++J75</f>
        <v>3542.3967900000007</v>
      </c>
      <c r="K74" s="11">
        <f>+K83++K75</f>
        <v>2495.5002000000004</v>
      </c>
      <c r="L74" s="40">
        <f>+IFERROR(H74/E74,"")</f>
        <v>0.24997943784610455</v>
      </c>
      <c r="M74" s="40">
        <f>+IFERROR(I74/F74,"")</f>
        <v>0.25013012796822331</v>
      </c>
      <c r="N74" s="40">
        <f>+IFERROR(J74/E74,"")</f>
        <v>2.361600221600222E-2</v>
      </c>
      <c r="O74" s="40">
        <f>+IFERROR(K74/F74,"")</f>
        <v>2.3766692338120919E-2</v>
      </c>
    </row>
    <row r="75" spans="2:16" s="77" customFormat="1" ht="20.100000000000001" customHeight="1" x14ac:dyDescent="0.3">
      <c r="B75" s="72" t="s">
        <v>152</v>
      </c>
      <c r="C75" s="80" t="s">
        <v>153</v>
      </c>
      <c r="D75" s="98" t="s">
        <v>69</v>
      </c>
      <c r="E75" s="75">
        <f>+E76+E82</f>
        <v>0</v>
      </c>
      <c r="F75" s="75">
        <f t="shared" ref="F75:K75" si="56">+F76+F82</f>
        <v>0</v>
      </c>
      <c r="G75" s="75">
        <f t="shared" si="56"/>
        <v>0</v>
      </c>
      <c r="H75" s="75">
        <f t="shared" si="56"/>
        <v>0</v>
      </c>
      <c r="I75" s="75">
        <f t="shared" si="56"/>
        <v>0</v>
      </c>
      <c r="J75" s="75">
        <f t="shared" si="56"/>
        <v>0</v>
      </c>
      <c r="K75" s="75">
        <f t="shared" si="56"/>
        <v>0</v>
      </c>
      <c r="L75" s="76" t="str">
        <f>+IFERROR(H75/E75,"")</f>
        <v/>
      </c>
      <c r="M75" s="76" t="str">
        <f>+IFERROR(I75/F75,"")</f>
        <v/>
      </c>
      <c r="N75" s="76" t="str">
        <f>+IFERROR(J75/E75,"")</f>
        <v/>
      </c>
      <c r="O75" s="76" t="str">
        <f>+IFERROR(K75/F75,"")</f>
        <v/>
      </c>
    </row>
    <row r="76" spans="2:16" ht="15" customHeight="1" x14ac:dyDescent="0.3">
      <c r="B76" s="43" t="s">
        <v>138</v>
      </c>
      <c r="C76" s="53" t="s">
        <v>139</v>
      </c>
      <c r="D76" s="100"/>
      <c r="E76" s="4">
        <f>+SUM(E77:E81)</f>
        <v>0</v>
      </c>
      <c r="F76" s="4">
        <f t="shared" ref="F76:K76" si="57">+SUM(F77:F81)</f>
        <v>0</v>
      </c>
      <c r="G76" s="4">
        <f t="shared" si="57"/>
        <v>0</v>
      </c>
      <c r="H76" s="4">
        <f t="shared" si="57"/>
        <v>0</v>
      </c>
      <c r="I76" s="4">
        <f t="shared" si="57"/>
        <v>0</v>
      </c>
      <c r="J76" s="4">
        <f t="shared" si="57"/>
        <v>0</v>
      </c>
      <c r="K76" s="4">
        <f t="shared" si="57"/>
        <v>0</v>
      </c>
      <c r="L76" s="44"/>
      <c r="M76" s="44"/>
      <c r="N76" s="44"/>
      <c r="O76" s="44"/>
    </row>
    <row r="77" spans="2:16" ht="15" customHeight="1" x14ac:dyDescent="0.3">
      <c r="B77" s="19" t="s">
        <v>140</v>
      </c>
      <c r="C77" s="54" t="s">
        <v>141</v>
      </c>
      <c r="D77" s="100"/>
      <c r="E77" s="4">
        <v>0</v>
      </c>
      <c r="F77" s="4">
        <v>0</v>
      </c>
      <c r="G77" s="45">
        <v>0</v>
      </c>
      <c r="H77" s="4">
        <v>0</v>
      </c>
      <c r="I77" s="4">
        <f t="shared" ref="I77:I81" si="58">K77+((H77-J77)*0.7)</f>
        <v>0</v>
      </c>
      <c r="J77" s="4">
        <v>0</v>
      </c>
      <c r="K77" s="4">
        <v>0</v>
      </c>
      <c r="L77" s="44" t="str">
        <f t="shared" ref="L77:M82" si="59">+IFERROR(H77/E77,"")</f>
        <v/>
      </c>
      <c r="M77" s="44" t="str">
        <f t="shared" si="59"/>
        <v/>
      </c>
      <c r="N77" s="44" t="str">
        <f t="shared" ref="N77:O82" si="60">+IFERROR(J77/E77,"")</f>
        <v/>
      </c>
      <c r="O77" s="44" t="str">
        <f t="shared" si="60"/>
        <v/>
      </c>
    </row>
    <row r="78" spans="2:16" ht="15" customHeight="1" x14ac:dyDescent="0.3">
      <c r="B78" s="19" t="s">
        <v>142</v>
      </c>
      <c r="C78" s="54" t="s">
        <v>143</v>
      </c>
      <c r="D78" s="100"/>
      <c r="E78" s="4">
        <v>0</v>
      </c>
      <c r="F78" s="4">
        <v>0</v>
      </c>
      <c r="G78" s="45">
        <v>0</v>
      </c>
      <c r="H78" s="4">
        <v>0</v>
      </c>
      <c r="I78" s="4">
        <f t="shared" si="58"/>
        <v>0</v>
      </c>
      <c r="J78" s="4">
        <v>0</v>
      </c>
      <c r="K78" s="4">
        <v>0</v>
      </c>
      <c r="L78" s="44" t="str">
        <f t="shared" si="59"/>
        <v/>
      </c>
      <c r="M78" s="44" t="str">
        <f t="shared" si="59"/>
        <v/>
      </c>
      <c r="N78" s="44" t="str">
        <f t="shared" si="60"/>
        <v/>
      </c>
      <c r="O78" s="44" t="str">
        <f t="shared" si="60"/>
        <v/>
      </c>
    </row>
    <row r="79" spans="2:16" ht="15" customHeight="1" x14ac:dyDescent="0.3">
      <c r="B79" s="19" t="s">
        <v>144</v>
      </c>
      <c r="C79" s="54" t="s">
        <v>145</v>
      </c>
      <c r="D79" s="100"/>
      <c r="E79" s="4">
        <v>0</v>
      </c>
      <c r="F79" s="4">
        <v>0</v>
      </c>
      <c r="G79" s="45">
        <v>0</v>
      </c>
      <c r="H79" s="4">
        <v>0</v>
      </c>
      <c r="I79" s="4">
        <f t="shared" si="58"/>
        <v>0</v>
      </c>
      <c r="J79" s="4">
        <v>0</v>
      </c>
      <c r="K79" s="4">
        <v>0</v>
      </c>
      <c r="L79" s="44" t="str">
        <f t="shared" si="59"/>
        <v/>
      </c>
      <c r="M79" s="44" t="str">
        <f t="shared" si="59"/>
        <v/>
      </c>
      <c r="N79" s="44" t="str">
        <f t="shared" si="60"/>
        <v/>
      </c>
      <c r="O79" s="44" t="str">
        <f t="shared" si="60"/>
        <v/>
      </c>
    </row>
    <row r="80" spans="2:16" ht="15" customHeight="1" x14ac:dyDescent="0.3">
      <c r="B80" s="19" t="s">
        <v>146</v>
      </c>
      <c r="C80" s="54" t="s">
        <v>147</v>
      </c>
      <c r="D80" s="100"/>
      <c r="E80" s="4">
        <v>0</v>
      </c>
      <c r="F80" s="4">
        <v>0</v>
      </c>
      <c r="G80" s="45">
        <v>0</v>
      </c>
      <c r="H80" s="4">
        <v>0</v>
      </c>
      <c r="I80" s="4">
        <f t="shared" si="58"/>
        <v>0</v>
      </c>
      <c r="J80" s="4">
        <v>0</v>
      </c>
      <c r="K80" s="4">
        <v>0</v>
      </c>
      <c r="L80" s="44" t="str">
        <f t="shared" si="59"/>
        <v/>
      </c>
      <c r="M80" s="44" t="str">
        <f t="shared" si="59"/>
        <v/>
      </c>
      <c r="N80" s="44" t="str">
        <f t="shared" si="60"/>
        <v/>
      </c>
      <c r="O80" s="44" t="str">
        <f t="shared" si="60"/>
        <v/>
      </c>
    </row>
    <row r="81" spans="2:16" ht="27.6" x14ac:dyDescent="0.3">
      <c r="B81" s="19" t="s">
        <v>148</v>
      </c>
      <c r="C81" s="54" t="s">
        <v>149</v>
      </c>
      <c r="D81" s="100"/>
      <c r="E81" s="4">
        <v>0</v>
      </c>
      <c r="F81" s="4">
        <v>0</v>
      </c>
      <c r="G81" s="45">
        <v>0</v>
      </c>
      <c r="H81" s="4">
        <v>0</v>
      </c>
      <c r="I81" s="4">
        <f t="shared" si="58"/>
        <v>0</v>
      </c>
      <c r="J81" s="4">
        <v>0</v>
      </c>
      <c r="K81" s="4">
        <v>0</v>
      </c>
      <c r="L81" s="44" t="str">
        <f t="shared" si="59"/>
        <v/>
      </c>
      <c r="M81" s="44" t="str">
        <f t="shared" si="59"/>
        <v/>
      </c>
      <c r="N81" s="44" t="str">
        <f t="shared" si="60"/>
        <v/>
      </c>
      <c r="O81" s="44" t="str">
        <f t="shared" si="60"/>
        <v/>
      </c>
    </row>
    <row r="82" spans="2:16" ht="15" customHeight="1" x14ac:dyDescent="0.3">
      <c r="B82" s="43" t="s">
        <v>150</v>
      </c>
      <c r="C82" s="3" t="s">
        <v>151</v>
      </c>
      <c r="D82" s="100"/>
      <c r="E82" s="4">
        <v>0</v>
      </c>
      <c r="F82" s="4">
        <v>0</v>
      </c>
      <c r="G82" s="45">
        <v>0</v>
      </c>
      <c r="H82" s="4">
        <v>0</v>
      </c>
      <c r="I82" s="4">
        <f>K82+((H82-J82)*0.7)</f>
        <v>0</v>
      </c>
      <c r="J82" s="4">
        <v>0</v>
      </c>
      <c r="K82" s="4">
        <v>0</v>
      </c>
      <c r="L82" s="44" t="str">
        <f t="shared" si="59"/>
        <v/>
      </c>
      <c r="M82" s="44" t="str">
        <f t="shared" si="59"/>
        <v/>
      </c>
      <c r="N82" s="44" t="str">
        <f t="shared" si="60"/>
        <v/>
      </c>
      <c r="O82" s="44" t="str">
        <f t="shared" si="60"/>
        <v/>
      </c>
    </row>
    <row r="83" spans="2:16" s="18" customFormat="1" ht="17.100000000000001" customHeight="1" x14ac:dyDescent="0.3">
      <c r="B83" s="63" t="s">
        <v>154</v>
      </c>
      <c r="C83" s="68" t="s">
        <v>155</v>
      </c>
      <c r="D83" s="99"/>
      <c r="E83" s="4">
        <v>0</v>
      </c>
      <c r="F83" s="4">
        <v>0</v>
      </c>
      <c r="G83" s="45">
        <v>52</v>
      </c>
      <c r="H83" s="4">
        <v>37496.878180000007</v>
      </c>
      <c r="I83" s="4">
        <f>K83+(H83-J83)*0.7</f>
        <v>26263.637173000003</v>
      </c>
      <c r="J83" s="4">
        <v>3542.3967900000007</v>
      </c>
      <c r="K83" s="4">
        <v>2495.5002000000004</v>
      </c>
      <c r="L83" s="42">
        <f>+IFERROR(H83/E74,"")</f>
        <v>0.24997943784610455</v>
      </c>
      <c r="M83" s="42">
        <f>+IFERROR(I83/F74,"")</f>
        <v>0.25013012796822331</v>
      </c>
      <c r="N83" s="42">
        <f>+IFERROR(J83/E74,"")</f>
        <v>2.361600221600222E-2</v>
      </c>
      <c r="O83" s="42">
        <f>+IFERROR(K83/F74,"")</f>
        <v>2.3766692338120919E-2</v>
      </c>
      <c r="P83" s="67"/>
    </row>
    <row r="84" spans="2:16" s="57" customFormat="1" ht="20.100000000000001" customHeight="1" x14ac:dyDescent="0.3">
      <c r="B84" s="62" t="s">
        <v>110</v>
      </c>
      <c r="C84" s="55"/>
      <c r="D84" s="56"/>
      <c r="E84" s="11">
        <f t="shared" ref="E84:K84" si="61">SUM(E85:E89)</f>
        <v>79024.181300000011</v>
      </c>
      <c r="F84" s="11">
        <f t="shared" si="61"/>
        <v>56892.311193000009</v>
      </c>
      <c r="G84" s="11">
        <f t="shared" si="61"/>
        <v>8268</v>
      </c>
      <c r="H84" s="11">
        <f t="shared" si="61"/>
        <v>89677.303000000014</v>
      </c>
      <c r="I84" s="11">
        <f t="shared" si="61"/>
        <v>64420.275121000013</v>
      </c>
      <c r="J84" s="11">
        <f t="shared" si="61"/>
        <v>32088.637169999998</v>
      </c>
      <c r="K84" s="11">
        <f t="shared" si="61"/>
        <v>24108.209040000005</v>
      </c>
      <c r="L84" s="40">
        <f>+H84/E84</f>
        <v>1.1348083779515221</v>
      </c>
      <c r="M84" s="40">
        <f>+I84/F84</f>
        <v>1.1323195308846274</v>
      </c>
      <c r="N84" s="40">
        <f>+J84/E84</f>
        <v>0.40606098844835475</v>
      </c>
      <c r="O84" s="40">
        <f>+K84/F84</f>
        <v>0.42375162011288203</v>
      </c>
    </row>
    <row r="85" spans="2:16" s="13" customFormat="1" ht="15" customHeight="1" x14ac:dyDescent="0.3">
      <c r="B85" s="69" t="s">
        <v>85</v>
      </c>
      <c r="C85" s="70" t="s">
        <v>86</v>
      </c>
      <c r="D85" s="15" t="s">
        <v>5</v>
      </c>
      <c r="E85" s="4">
        <v>31102.85000000002</v>
      </c>
      <c r="F85" s="4">
        <v>22394.051940000012</v>
      </c>
      <c r="G85" s="4">
        <v>1195</v>
      </c>
      <c r="H85" s="4">
        <v>34251.85815</v>
      </c>
      <c r="I85" s="4">
        <f>K85+((H85-J85)*0.7)</f>
        <v>24667.905615000007</v>
      </c>
      <c r="J85" s="4">
        <v>12684.526299999996</v>
      </c>
      <c r="K85" s="4">
        <v>9570.7733200000057</v>
      </c>
      <c r="L85" s="42">
        <f t="shared" ref="L85:L92" si="62">+H85/E85</f>
        <v>1.1012450032714036</v>
      </c>
      <c r="M85" s="42">
        <f t="shared" ref="M85:M92" si="63">+I85/F85</f>
        <v>1.101538287090353</v>
      </c>
      <c r="N85" s="42">
        <f t="shared" ref="N85:N92" si="64">+J85/E85</f>
        <v>0.40782520894387453</v>
      </c>
      <c r="O85" s="42">
        <f t="shared" ref="O85:O92" si="65">+K85/F85</f>
        <v>0.42738015191010587</v>
      </c>
      <c r="P85" s="67"/>
    </row>
    <row r="86" spans="2:16" s="13" customFormat="1" ht="15" customHeight="1" x14ac:dyDescent="0.3">
      <c r="B86" s="69" t="s">
        <v>87</v>
      </c>
      <c r="C86" s="70" t="s">
        <v>88</v>
      </c>
      <c r="D86" s="15"/>
      <c r="E86" s="4">
        <v>5063.8997499999996</v>
      </c>
      <c r="F86" s="4">
        <v>3646.0078599999993</v>
      </c>
      <c r="G86" s="4">
        <v>174</v>
      </c>
      <c r="H86" s="4">
        <v>5002.5968000000003</v>
      </c>
      <c r="I86" s="4">
        <f>K86+((H86-J86)*0.7)</f>
        <v>3603.0741269999994</v>
      </c>
      <c r="J86" s="4">
        <v>1962.4048900000007</v>
      </c>
      <c r="K86" s="4">
        <v>1474.9397899999999</v>
      </c>
      <c r="L86" s="42">
        <f t="shared" si="62"/>
        <v>0.98789412250904074</v>
      </c>
      <c r="M86" s="42">
        <f t="shared" si="63"/>
        <v>0.98822445407454507</v>
      </c>
      <c r="N86" s="42">
        <f t="shared" si="64"/>
        <v>0.38752838462096351</v>
      </c>
      <c r="O86" s="42">
        <f t="shared" si="65"/>
        <v>0.40453554864250901</v>
      </c>
      <c r="P86" s="67"/>
    </row>
    <row r="87" spans="2:16" s="13" customFormat="1" ht="15" customHeight="1" x14ac:dyDescent="0.3">
      <c r="B87" s="69" t="s">
        <v>89</v>
      </c>
      <c r="C87" s="70" t="s">
        <v>90</v>
      </c>
      <c r="D87" s="15"/>
      <c r="E87" s="4">
        <v>8391.6269999999986</v>
      </c>
      <c r="F87" s="4">
        <v>6041.9711799999995</v>
      </c>
      <c r="G87" s="4">
        <v>2065</v>
      </c>
      <c r="H87" s="4">
        <v>14762.279850000001</v>
      </c>
      <c r="I87" s="4">
        <f t="shared" ref="I87:I89" si="66">K87+((H87-J87)*0.7)</f>
        <v>10502.985761</v>
      </c>
      <c r="J87" s="4">
        <v>3637.5227200000013</v>
      </c>
      <c r="K87" s="4">
        <v>2715.6557700000003</v>
      </c>
      <c r="L87" s="42">
        <f t="shared" si="62"/>
        <v>1.7591677811704456</v>
      </c>
      <c r="M87" s="42">
        <f t="shared" si="63"/>
        <v>1.7383376133548523</v>
      </c>
      <c r="N87" s="42">
        <f t="shared" si="64"/>
        <v>0.4334704962458415</v>
      </c>
      <c r="O87" s="42">
        <f t="shared" si="65"/>
        <v>0.44946519754832737</v>
      </c>
      <c r="P87" s="67"/>
    </row>
    <row r="88" spans="2:16" s="13" customFormat="1" ht="15" customHeight="1" x14ac:dyDescent="0.3">
      <c r="B88" s="69" t="s">
        <v>91</v>
      </c>
      <c r="C88" s="70" t="s">
        <v>92</v>
      </c>
      <c r="D88" s="15"/>
      <c r="E88" s="4">
        <v>32073.382899999993</v>
      </c>
      <c r="F88" s="4">
        <v>23087.736618999996</v>
      </c>
      <c r="G88" s="4">
        <v>4738</v>
      </c>
      <c r="H88" s="4">
        <v>33143.629700000012</v>
      </c>
      <c r="I88" s="4">
        <f t="shared" si="66"/>
        <v>23836.604219000008</v>
      </c>
      <c r="J88" s="4">
        <v>12936.561830000002</v>
      </c>
      <c r="K88" s="4">
        <v>9691.6567100000011</v>
      </c>
      <c r="L88" s="42">
        <f t="shared" si="62"/>
        <v>1.0333686908966506</v>
      </c>
      <c r="M88" s="42">
        <f t="shared" si="63"/>
        <v>1.0324357303774738</v>
      </c>
      <c r="N88" s="42">
        <f t="shared" si="64"/>
        <v>0.40334260562205942</v>
      </c>
      <c r="O88" s="42">
        <f t="shared" si="65"/>
        <v>0.41977508969087407</v>
      </c>
      <c r="P88" s="67"/>
    </row>
    <row r="89" spans="2:16" s="13" customFormat="1" ht="15" customHeight="1" x14ac:dyDescent="0.3">
      <c r="B89" s="69" t="s">
        <v>93</v>
      </c>
      <c r="C89" s="70" t="s">
        <v>94</v>
      </c>
      <c r="D89" s="15"/>
      <c r="E89" s="4">
        <v>2392.4216499999998</v>
      </c>
      <c r="F89" s="4">
        <v>1722.543594</v>
      </c>
      <c r="G89" s="4">
        <v>96</v>
      </c>
      <c r="H89" s="4">
        <v>2516.9385000000002</v>
      </c>
      <c r="I89" s="4">
        <f t="shared" si="66"/>
        <v>1809.7053990000002</v>
      </c>
      <c r="J89" s="4">
        <v>867.62143000000003</v>
      </c>
      <c r="K89" s="4">
        <v>655.18345000000022</v>
      </c>
      <c r="L89" s="42">
        <f t="shared" si="62"/>
        <v>1.0520463648203486</v>
      </c>
      <c r="M89" s="42">
        <f t="shared" si="63"/>
        <v>1.0506006380933428</v>
      </c>
      <c r="N89" s="42">
        <f t="shared" si="64"/>
        <v>0.36265406225528851</v>
      </c>
      <c r="O89" s="42">
        <f t="shared" si="65"/>
        <v>0.38035812404524855</v>
      </c>
      <c r="P89" s="67"/>
    </row>
    <row r="90" spans="2:16" s="7" customFormat="1" ht="18.75" customHeight="1" x14ac:dyDescent="0.3">
      <c r="B90" s="62" t="s">
        <v>111</v>
      </c>
      <c r="C90" s="37"/>
      <c r="D90" s="38"/>
      <c r="E90" s="11">
        <f t="shared" ref="E90:K90" si="67">SUM(E91:E92)</f>
        <v>153999.99995999999</v>
      </c>
      <c r="F90" s="11">
        <f t="shared" si="67"/>
        <v>85791.466195341593</v>
      </c>
      <c r="G90" s="11">
        <f t="shared" si="67"/>
        <v>0</v>
      </c>
      <c r="H90" s="11">
        <f t="shared" si="67"/>
        <v>0</v>
      </c>
      <c r="I90" s="11">
        <f t="shared" si="67"/>
        <v>0</v>
      </c>
      <c r="J90" s="11">
        <f t="shared" si="67"/>
        <v>0</v>
      </c>
      <c r="K90" s="11">
        <f t="shared" si="67"/>
        <v>0</v>
      </c>
      <c r="L90" s="40">
        <f>+H90/E90</f>
        <v>0</v>
      </c>
      <c r="M90" s="40">
        <f>+I90/F90</f>
        <v>0</v>
      </c>
      <c r="N90" s="40">
        <f>+J90/E90</f>
        <v>0</v>
      </c>
      <c r="O90" s="40">
        <f>+K90/F90</f>
        <v>0</v>
      </c>
    </row>
    <row r="91" spans="2:16" s="13" customFormat="1" ht="15" customHeight="1" x14ac:dyDescent="0.3">
      <c r="B91" s="69" t="s">
        <v>95</v>
      </c>
      <c r="C91" s="70" t="s">
        <v>96</v>
      </c>
      <c r="D91" s="15" t="s">
        <v>31</v>
      </c>
      <c r="E91" s="4">
        <v>90000</v>
      </c>
      <c r="F91" s="4">
        <v>51377.665883978116</v>
      </c>
      <c r="G91" s="45">
        <v>0</v>
      </c>
      <c r="H91" s="4">
        <v>0</v>
      </c>
      <c r="I91" s="4">
        <f t="shared" ref="I91:I92" si="68">K91+((H91-J91)/(E91/F91))</f>
        <v>0</v>
      </c>
      <c r="J91" s="4">
        <v>0</v>
      </c>
      <c r="K91" s="4">
        <v>0</v>
      </c>
      <c r="L91" s="42">
        <f t="shared" si="62"/>
        <v>0</v>
      </c>
      <c r="M91" s="42">
        <f t="shared" si="63"/>
        <v>0</v>
      </c>
      <c r="N91" s="42">
        <f t="shared" si="64"/>
        <v>0</v>
      </c>
      <c r="O91" s="42">
        <f t="shared" si="65"/>
        <v>0</v>
      </c>
      <c r="P91" s="67"/>
    </row>
    <row r="92" spans="2:16" s="13" customFormat="1" ht="15" customHeight="1" x14ac:dyDescent="0.3">
      <c r="B92" s="69" t="s">
        <v>97</v>
      </c>
      <c r="C92" s="70" t="s">
        <v>98</v>
      </c>
      <c r="D92" s="15"/>
      <c r="E92" s="4">
        <v>63999.999959999994</v>
      </c>
      <c r="F92" s="4">
        <v>34413.800311363477</v>
      </c>
      <c r="G92" s="45">
        <v>0</v>
      </c>
      <c r="H92" s="4">
        <v>0</v>
      </c>
      <c r="I92" s="4">
        <f t="shared" si="68"/>
        <v>0</v>
      </c>
      <c r="J92" s="4">
        <v>0</v>
      </c>
      <c r="K92" s="4">
        <v>0</v>
      </c>
      <c r="L92" s="42">
        <f t="shared" si="62"/>
        <v>0</v>
      </c>
      <c r="M92" s="42">
        <f t="shared" si="63"/>
        <v>0</v>
      </c>
      <c r="N92" s="42">
        <f t="shared" si="64"/>
        <v>0</v>
      </c>
      <c r="O92" s="42">
        <f t="shared" si="65"/>
        <v>0</v>
      </c>
      <c r="P92" s="67"/>
    </row>
    <row r="93" spans="2:16" s="85" customFormat="1" ht="15" customHeight="1" x14ac:dyDescent="0.3"/>
    <row r="94" spans="2:16" ht="15" customHeight="1" x14ac:dyDescent="0.3">
      <c r="B94" s="21" t="s">
        <v>174</v>
      </c>
    </row>
    <row r="95" spans="2:16" x14ac:dyDescent="0.3">
      <c r="B95" s="61" t="s">
        <v>135</v>
      </c>
    </row>
  </sheetData>
  <mergeCells count="20">
    <mergeCell ref="D63:D64"/>
    <mergeCell ref="D75:D83"/>
    <mergeCell ref="B5:B8"/>
    <mergeCell ref="D58:D60"/>
    <mergeCell ref="G6:G7"/>
    <mergeCell ref="E7:F7"/>
    <mergeCell ref="C5:C8"/>
    <mergeCell ref="D16:D27"/>
    <mergeCell ref="D33:D36"/>
    <mergeCell ref="D39:D40"/>
    <mergeCell ref="D47:D53"/>
    <mergeCell ref="L6:M6"/>
    <mergeCell ref="H7:I7"/>
    <mergeCell ref="J7:K7"/>
    <mergeCell ref="D5:D8"/>
    <mergeCell ref="E5:F5"/>
    <mergeCell ref="J5:K5"/>
    <mergeCell ref="L5:O5"/>
    <mergeCell ref="N6:O6"/>
    <mergeCell ref="G5:I5"/>
  </mergeCells>
  <printOptions horizontalCentered="1"/>
  <pageMargins left="0.35433070866141736" right="0.35433070866141736" top="1.1811023622047245" bottom="0.59055118110236227" header="0.31496062992125984" footer="0.19685039370078741"/>
  <pageSetup paperSize="8" scale="60" orientation="portrait" r:id="rId1"/>
  <headerFooter>
    <oddHeader xml:space="preserve">&amp;L&amp;G
</oddHeader>
  </headerFooter>
  <ignoredErrors>
    <ignoredError sqref="P85 L33:P33 L34:M34 L35:P35 L38:P38 L39:P39 L43:P43 L44:P44 L47:P47 L48:P48 L49:P49 L57:M57 L58:P58 L59:P59 L60:P60 L61:P61 P63 P64 L66:P66 L67:P67 L68 L69:P69 L70:P70 P75 L85:O85 L86:O86 L87:O87 L88:O88 L89:O89 L91:O91 L92:O92 P34 N68:P68 O57:P57" 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2E5C361E7E4248A70230A7E00D821C" ma:contentTypeVersion="15" ma:contentTypeDescription="Criar um novo documento." ma:contentTypeScope="" ma:versionID="021536fd5fe953a203314d5b413aabd3">
  <xsd:schema xmlns:xsd="http://www.w3.org/2001/XMLSchema" xmlns:xs="http://www.w3.org/2001/XMLSchema" xmlns:p="http://schemas.microsoft.com/office/2006/metadata/properties" xmlns:ns2="0320c702-071d-4011-91cf-0051d6ab68f5" xmlns:ns3="e6ee6660-4776-4585-bb11-ac531f3cff1e" targetNamespace="http://schemas.microsoft.com/office/2006/metadata/properties" ma:root="true" ma:fieldsID="50cecff1bdf8fabc764e630255994e65" ns2:_="" ns3:_="">
    <xsd:import namespace="0320c702-071d-4011-91cf-0051d6ab68f5"/>
    <xsd:import namespace="e6ee6660-4776-4585-bb11-ac531f3cf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0c702-071d-4011-91cf-0051d6ab6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c7bac931-df5c-491a-b361-d6ab10128a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e6660-4776-4585-bb11-ac531f3cff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92dfb9-79cb-4381-a269-d7604859a1de}" ma:internalName="TaxCatchAll" ma:showField="CatchAllData" ma:web="e6ee6660-4776-4585-bb11-ac531f3cf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20c702-071d-4011-91cf-0051d6ab68f5">
      <Terms xmlns="http://schemas.microsoft.com/office/infopath/2007/PartnerControls"/>
    </lcf76f155ced4ddcb4097134ff3c332f>
    <TaxCatchAll xmlns="e6ee6660-4776-4585-bb11-ac531f3cff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31D33-62A3-4381-A3BE-E43FABFD06A9}"/>
</file>

<file path=customXml/itemProps2.xml><?xml version="1.0" encoding="utf-8"?>
<ds:datastoreItem xmlns:ds="http://schemas.openxmlformats.org/officeDocument/2006/customXml" ds:itemID="{AE7104FC-D63A-447D-9B79-EDFE67E21B7F}">
  <ds:schemaRefs>
    <ds:schemaRef ds:uri="6e76675f-25e3-4c63-9f9d-235e5ab3c128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d5a5130-429c-4711-af93-69e8e8bc1e5f"/>
    <ds:schemaRef ds:uri="a1e06f6a-479d-4b03-a76e-8e660a2ff3e8"/>
  </ds:schemaRefs>
</ds:datastoreItem>
</file>

<file path=customXml/itemProps3.xml><?xml version="1.0" encoding="utf-8"?>
<ds:datastoreItem xmlns:ds="http://schemas.openxmlformats.org/officeDocument/2006/customXml" ds:itemID="{FD7D03FF-74DE-4554-BB55-DB81BE003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Quadro Síntese</vt:lpstr>
      <vt:lpstr>'Quadro Síntese'!Área_de_Impressão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 Sousa</dc:creator>
  <cp:lastModifiedBy>Ana Paula Silva</cp:lastModifiedBy>
  <cp:lastPrinted>2025-03-18T15:02:56Z</cp:lastPrinted>
  <dcterms:created xsi:type="dcterms:W3CDTF">2024-01-29T13:40:47Z</dcterms:created>
  <dcterms:modified xsi:type="dcterms:W3CDTF">2025-09-11T16:02:36Z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0x010100362E5C361E7E4248A70230A7E00D821C</vt:lpwstr>
  </property>
  <property fmtid="{D5CDD505-2E9C-101B-9397-08002B2CF9AE}" pid="3" name="MediaServiceImageTags">
    <vt:lpwstr/>
  </property>
</Properties>
</file>